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480" windowHeight="7125" tabRatio="631" activeTab="4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  <sheet name="Лист1" sheetId="6" r:id="rId6"/>
  </sheets>
  <externalReferences>
    <externalReference r:id="rId9"/>
  </externalReferences>
  <definedNames>
    <definedName name="_ftn1" localSheetId="4">'Данные'!$B$89</definedName>
    <definedName name="_ftnref1" localSheetId="4">'Данные'!$B$86</definedName>
    <definedName name="_xlfn.IFERROR" hidden="1">#NAME?</definedName>
    <definedName name="_xlnm._FilterDatabase" localSheetId="2" hidden="1">'Оценки'!$A$4:$N$43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Z_0EE50C01_2A0E_4D54_A134_DA36F31F5C21_.wvu.Cols" localSheetId="4" hidden="1">'Данные'!$A:$A</definedName>
    <definedName name="Z_0EE50C01_2A0E_4D54_A134_DA36F31F5C21_.wvu.Cols" localSheetId="2" hidden="1">'Оценки'!$F:$H</definedName>
    <definedName name="Z_0EE50C01_2A0E_4D54_A134_DA36F31F5C21_.wvu.FilterData" localSheetId="2" hidden="1">'Оценки'!$A$4:$N$43</definedName>
    <definedName name="Z_0EE50C01_2A0E_4D54_A134_DA36F31F5C21_.wvu.PrintTitles" localSheetId="4" hidden="1">'Данные'!$B:$E,'Данные'!$4:$4</definedName>
    <definedName name="Z_0EE50C01_2A0E_4D54_A134_DA36F31F5C21_.wvu.PrintTitles" localSheetId="3" hidden="1">'Индикаторы'!$A:$B,'Индикаторы'!$5:$5</definedName>
    <definedName name="Z_0EE50C01_2A0E_4D54_A134_DA36F31F5C21_.wvu.PrintTitles" localSheetId="1" hidden="1">'Нарушения БК'!$A:$B</definedName>
    <definedName name="Z_0EE50C01_2A0E_4D54_A134_DA36F31F5C21_.wvu.PrintTitles" localSheetId="2" hidden="1">'Оценки'!$A:$B,'Оценки'!$4:$5</definedName>
    <definedName name="Z_0EE50C01_2A0E_4D54_A134_DA36F31F5C21_.wvu.Rows" localSheetId="3" hidden="1">'Индикаторы'!$6:$6</definedName>
    <definedName name="Z_0F34C072_691B_4B85_A262_B2592B806CC6_.wvu.Cols" localSheetId="4" hidden="1">'Данные'!$A:$A</definedName>
    <definedName name="Z_0F34C072_691B_4B85_A262_B2592B806CC6_.wvu.Cols" localSheetId="2" hidden="1">'Оценки'!$F:$H</definedName>
    <definedName name="Z_0F34C072_691B_4B85_A262_B2592B806CC6_.wvu.FilterData" localSheetId="2" hidden="1">'Оценки'!$A$4:$N$43</definedName>
    <definedName name="Z_0F34C072_691B_4B85_A262_B2592B806CC6_.wvu.PrintTitles" localSheetId="4" hidden="1">'Данные'!$B:$E,'Данные'!$4:$4</definedName>
    <definedName name="Z_0F34C072_691B_4B85_A262_B2592B806CC6_.wvu.PrintTitles" localSheetId="3" hidden="1">'Индикаторы'!$A:$B,'Индикаторы'!$5:$5</definedName>
    <definedName name="Z_0F34C072_691B_4B85_A262_B2592B806CC6_.wvu.PrintTitles" localSheetId="1" hidden="1">'Нарушения БК'!$A:$B</definedName>
    <definedName name="Z_0F34C072_691B_4B85_A262_B2592B806CC6_.wvu.PrintTitles" localSheetId="2" hidden="1">'Оценки'!$A:$B,'Оценки'!$4:$5</definedName>
    <definedName name="Z_0F34C072_691B_4B85_A262_B2592B806CC6_.wvu.Rows" localSheetId="3" hidden="1">'Индикаторы'!$6:$6</definedName>
    <definedName name="Z_22675D66_A8C7_45CA_A005_087A40C644E0_.wvu.Cols" localSheetId="4" hidden="1">'Данные'!$A:$A</definedName>
    <definedName name="Z_22675D66_A8C7_45CA_A005_087A40C644E0_.wvu.Cols" localSheetId="2" hidden="1">'Оценки'!$F:$H</definedName>
    <definedName name="Z_22675D66_A8C7_45CA_A005_087A40C644E0_.wvu.FilterData" localSheetId="2" hidden="1">'Оценки'!$A$4:$N$43</definedName>
    <definedName name="Z_22675D66_A8C7_45CA_A005_087A40C644E0_.wvu.PrintTitles" localSheetId="4" hidden="1">'Данные'!$B:$E,'Данные'!$4:$4</definedName>
    <definedName name="Z_22675D66_A8C7_45CA_A005_087A40C644E0_.wvu.PrintTitles" localSheetId="3" hidden="1">'Индикаторы'!$A:$B,'Индикаторы'!$5:$5</definedName>
    <definedName name="Z_22675D66_A8C7_45CA_A005_087A40C644E0_.wvu.PrintTitles" localSheetId="1" hidden="1">'Нарушения БК'!$A:$B</definedName>
    <definedName name="Z_22675D66_A8C7_45CA_A005_087A40C644E0_.wvu.PrintTitles" localSheetId="2" hidden="1">'Оценки'!$A:$B,'Оценки'!$4:$5</definedName>
    <definedName name="Z_22675D66_A8C7_45CA_A005_087A40C644E0_.wvu.Rows" localSheetId="3" hidden="1">'Индикаторы'!$6:$6</definedName>
    <definedName name="Z_22B07942_6A64_4424_BB62_26D99A3C7384_.wvu.Cols" localSheetId="4" hidden="1">'Данные'!$A:$A</definedName>
    <definedName name="Z_22B07942_6A64_4424_BB62_26D99A3C7384_.wvu.Cols" localSheetId="2" hidden="1">'Оценки'!$F:$H</definedName>
    <definedName name="Z_22B07942_6A64_4424_BB62_26D99A3C7384_.wvu.FilterData" localSheetId="2" hidden="1">'Оценки'!$A$4:$N$43</definedName>
    <definedName name="Z_22B07942_6A64_4424_BB62_26D99A3C7384_.wvu.PrintTitles" localSheetId="4" hidden="1">'Данные'!$B:$E,'Данные'!$4:$4</definedName>
    <definedName name="Z_22B07942_6A64_4424_BB62_26D99A3C7384_.wvu.PrintTitles" localSheetId="3" hidden="1">'Индикаторы'!$A:$B,'Индикаторы'!$5:$5</definedName>
    <definedName name="Z_22B07942_6A64_4424_BB62_26D99A3C7384_.wvu.PrintTitles" localSheetId="1" hidden="1">'Нарушения БК'!$A:$B</definedName>
    <definedName name="Z_22B07942_6A64_4424_BB62_26D99A3C7384_.wvu.PrintTitles" localSheetId="2" hidden="1">'Оценки'!$A:$B,'Оценки'!$4:$5</definedName>
    <definedName name="Z_22B07942_6A64_4424_BB62_26D99A3C7384_.wvu.Rows" localSheetId="3" hidden="1">'Индикаторы'!$6:$6</definedName>
    <definedName name="Z_6E0268DD_BACB_44B3_AC58_84E60A55ECA0_.wvu.Cols" localSheetId="4" hidden="1">'Данные'!$A:$A</definedName>
    <definedName name="Z_6E0268DD_BACB_44B3_AC58_84E60A55ECA0_.wvu.Cols" localSheetId="2" hidden="1">'Оценки'!$F:$H</definedName>
    <definedName name="Z_6E0268DD_BACB_44B3_AC58_84E60A55ECA0_.wvu.FilterData" localSheetId="2" hidden="1">'Оценки'!$A$4:$N$43</definedName>
    <definedName name="Z_6E0268DD_BACB_44B3_AC58_84E60A55ECA0_.wvu.PrintTitles" localSheetId="4" hidden="1">'Данные'!$B:$E,'Данные'!$4:$4</definedName>
    <definedName name="Z_6E0268DD_BACB_44B3_AC58_84E60A55ECA0_.wvu.PrintTitles" localSheetId="3" hidden="1">'Индикаторы'!$A:$B,'Индикаторы'!$5:$5</definedName>
    <definedName name="Z_6E0268DD_BACB_44B3_AC58_84E60A55ECA0_.wvu.PrintTitles" localSheetId="1" hidden="1">'Нарушения БК'!$A:$B</definedName>
    <definedName name="Z_6E0268DD_BACB_44B3_AC58_84E60A55ECA0_.wvu.PrintTitles" localSheetId="2" hidden="1">'Оценки'!$A:$B,'Оценки'!$4:$5</definedName>
    <definedName name="Z_6E0268DD_BACB_44B3_AC58_84E60A55ECA0_.wvu.Rows" localSheetId="3" hidden="1">'Индикаторы'!$6:$6</definedName>
    <definedName name="Выбор">'[1]Справочник'!$B$30:$C$30</definedName>
    <definedName name="_xlnm.Print_Titles" localSheetId="4">'Данные'!$B:$E,'Данные'!$4:$4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</definedNames>
  <calcPr fullCalcOnLoad="1"/>
</workbook>
</file>

<file path=xl/sharedStrings.xml><?xml version="1.0" encoding="utf-8"?>
<sst xmlns="http://schemas.openxmlformats.org/spreadsheetml/2006/main" count="381" uniqueCount="249">
  <si>
    <t>№ п/п</t>
  </si>
  <si>
    <t>Утверждение бюджета на очередной финансовый год и плановый период</t>
  </si>
  <si>
    <t>Объем просроченной задолженности по долговым обязательствам</t>
  </si>
  <si>
    <t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</si>
  <si>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</si>
  <si>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</si>
  <si>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</si>
  <si>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</si>
  <si>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</si>
  <si>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</si>
  <si>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</si>
  <si>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</si>
  <si>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</si>
  <si>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</si>
  <si>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Количество изменений, внесенных в решение о бюджете муниципального образования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</si>
  <si>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</si>
  <si>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</si>
  <si>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</si>
  <si>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</si>
  <si>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</si>
  <si>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</si>
  <si>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</si>
  <si>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</si>
  <si>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</si>
  <si>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</si>
  <si>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</si>
  <si>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</si>
  <si>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</si>
  <si>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</si>
  <si>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</si>
  <si>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</si>
  <si>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</si>
  <si>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</si>
  <si>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</si>
  <si>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</si>
  <si>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</si>
  <si>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</si>
  <si>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</si>
  <si>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</si>
  <si>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</si>
  <si>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</si>
  <si>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</si>
  <si>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</si>
  <si>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</si>
  <si>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</si>
  <si>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</si>
  <si>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</si>
  <si>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</si>
  <si>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</si>
  <si>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</si>
  <si>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</si>
  <si>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</si>
  <si>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</si>
  <si>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</si>
  <si>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</si>
  <si>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</si>
  <si>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</si>
  <si>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</si>
  <si>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</si>
  <si>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</si>
  <si>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</si>
  <si>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</si>
  <si>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</si>
  <si>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</si>
  <si>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</si>
  <si>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ВЕС</t>
  </si>
  <si>
    <t>Отношение объема заимствований муниципального образования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</si>
  <si>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</si>
  <si>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</si>
  <si>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</si>
  <si>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</si>
  <si>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</si>
  <si>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</si>
  <si>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</si>
  <si>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</si>
  <si>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</si>
  <si>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</si>
  <si>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</si>
  <si>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</si>
  <si>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Наименование показателя</t>
  </si>
  <si>
    <t>Индикатор для оценки</t>
  </si>
  <si>
    <t>НАРУШЕНИЯ БЮДЖЕТНОГО КОДЕКСА</t>
  </si>
  <si>
    <t>Высокодотационное муниципальное образование (в соответствии с ч. 4 ст. 136 БК РФ)</t>
  </si>
  <si>
    <t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t>
  </si>
  <si>
    <t>И21 = КИ, где КИ – количество изменений, внесенных в решение о бюджете муниципального образования</t>
  </si>
  <si>
    <t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t>
  </si>
  <si>
    <t>И22 = НД/НД-1
где:
НД – объем налоговых доходов бюджета  муниципального образования в отчетном финансовом году;
НД-1 – объем налоговых доходов бюджета муниципального образования в году, предшествующем отчетному финансовому году</t>
  </si>
  <si>
    <t>Темп роста поступлений неналоговых доходов бюджета муниципального образования к соответствующему периоду прошлого года</t>
  </si>
  <si>
    <t>И23 = ННД/ННД-1
где:
ННД – объем неналоговых доходов бюджета муниципального образования в отчетном финансовом году;
ННД-1 – объем неналоговых доходов бюджета муниципального образования в году, предшествующем отчетному финансовому году</t>
  </si>
  <si>
    <t>Отношение сумм финансовых нарушений, выявленных по актам ревизии, к расходам бюджета муниципального образования</t>
  </si>
  <si>
    <t>И24 = ФН / Р,
где:
ФН – объем финансовых нарушений, выявленных по актам ревизии в отчетном финансовом году;
Р – общий объем расходов бюджета муниципального образования в отчетном финансовом году</t>
  </si>
  <si>
    <t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</si>
  <si>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</si>
  <si>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t>
  </si>
  <si>
    <t>И26 = КомпЖКУ / Р,
где:
КомпЖКУ –  объем расходов бюджета муниципального образования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муниципального образования в отчетном финансовом году</t>
  </si>
  <si>
    <t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t>
  </si>
  <si>
    <t>И27 = ПКЗ / Р
где:
ПКЗ – объем просроченной кредиторской задолженности бюджета муниципального образования на 1 января текущего финансового года;
Р – общий объем расходов бюджета муниципального образования в отчетном финансовом году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</si>
  <si>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</si>
  <si>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И28 = ПКЗзп
где:
ПКЗзп – объем просроченной кредиторской задолженности бюджета муниципального образования по выплате заработной платы на 1 января текущего финансового года</t>
  </si>
  <si>
    <t>И31 = ПЗ,
где: 
ПЗ – просроченная задолженность по долговым обязательствам по состоянию на 1 января текущего финансового года</t>
  </si>
  <si>
    <t>Соотношение объема выплат по муниципальным гарантиям к общему объему представленных муниципальным образованием гарантий</t>
  </si>
  <si>
    <t>И32 = Гв/Гм, 
где:
Гв – объем выплат, произведенных муниципальным образованием по муниципальным гарантиям, в отчетном финансовом году;
Гм – объем муниципального долга по предоставленным муниципальным гарантиям на 1 января отчетного финансового года</t>
  </si>
  <si>
    <t>Уровень долговой нагрузки на местный бюджет</t>
  </si>
  <si>
    <t>И33 = МД/Дс, 
где:
МД – объем муниципального долга бюджета  муниципального образования на 1 января текущего финансового года;
Дс – объем  доходов муниципального образования в отчетном финансовом году  (за исключением субвенций из бюджета автономного округа)</t>
  </si>
  <si>
    <t>3.3</t>
  </si>
  <si>
    <t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t>
  </si>
  <si>
    <t>И44 = РАУ / Р
где:
РАУ – 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организациями;
Р – общий объем расходов бюджета  муниципального образования в отчетном финансовом году на финансирование отраслей социальной сферы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</si>
  <si>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</si>
  <si>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</si>
  <si>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</si>
  <si>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Своевременность предоставления бюджетной отчетности в Департамент финансов Ханты-Мансийского автономного округа – Югры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</si>
  <si>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</si>
  <si>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Е2 = З / (Деф + Пог)*100,
где:
З – объем заимствований муниципального образования в отчетном финансовом году;
Деф – сумма, направленная в отчетном финансовом году на финансирование дефицита бюджета муниципального образования;
Пог – сумма, направленная в отчетном финансовом году на погашение долговых обязательств бюджета муниципального образования</t>
  </si>
  <si>
    <t>5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</si>
  <si>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</si>
  <si>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муниципального образования на обслуживание муниципального долга в отчетном финансовом году;
Р – общий объем расходов бюджета муниципального образования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</si>
  <si>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</si>
  <si>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</si>
  <si>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</si>
  <si>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муниципального образования на 1 января текущего финансового года;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</si>
  <si>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</si>
  <si>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</si>
  <si>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муниципального долга бюджета  муниципального образования на 1 января текущего финансового года</t>
  </si>
  <si>
    <t>Объем первоначально утвержденный решением о бюджете муниципального образования поступлений налоговых доходов  бюджета муниципального образованияв отчетном финансовом году</t>
  </si>
  <si>
    <t>Объем первоначально утвержденный решением о бюджете муниципального образования поступлений неналоговых доходов  бюджета муниципального образования в отчетном финансовом году</t>
  </si>
  <si>
    <t>Объем поступлений налоговых доходов бюджета муниципального образования в отчетном финансовом году</t>
  </si>
  <si>
    <t>Объем поступлений неналоговых доходов бюджета муниципального образования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</si>
  <si>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</si>
  <si>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Объем расходов бюджета муниципального образования, формируемые в рамках долгосрочных и ведомственных целевых программ в отчетном финансовом году</t>
  </si>
  <si>
    <t>Объем расходов бюджета муниципального образования, осуществляемых за счет субвенций из регионального фонда компенсаций (для муниципального района за исключением субвенций на предоставление дотаций поселениям) и субсидий из регионального фонда софинансирования расходов, предоставляемых в рамках целевых программ автономного округа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</si>
  <si>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</si>
  <si>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году, предшествующем отчетному финансовому году</t>
  </si>
  <si>
    <t>Объем поступлений неналоговых доходов бюджета муниципального образования в году, предшествующем отчетному финансовому году</t>
  </si>
  <si>
    <t>Объем  финансовых нарушений, выявленных по актам ревизии в отчетном финансовом году</t>
  </si>
  <si>
    <t xml:space="preserve">Объем расходов бюджета муниципального образования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</si>
  <si>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муниципального образования в первом квартале отчетного финансового года</t>
  </si>
  <si>
    <t>Объем расходов бюджета муниципального образования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</si>
  <si>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</si>
  <si>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во втором квартале отчетного финансового года</t>
  </si>
  <si>
    <t>Объем расходов бюджета муниципального образования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</si>
  <si>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</si>
  <si>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 в третьем квартале отчетного финансового года</t>
  </si>
  <si>
    <t>Объем расходов бюджета муниципального образования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</si>
  <si>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</si>
  <si>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 четвертом квартале отчетного финансового года</t>
  </si>
  <si>
    <t>Объем расходов бюджета муниципального образования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</si>
  <si>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</si>
  <si>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Объем просроченной кредиторской задолженности бюджета муниципального образования на 1 января текущего финансового года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</si>
  <si>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отраслей социальной сферы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</si>
  <si>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</si>
  <si>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</t>
  </si>
  <si>
    <t>Объем расходов бюджета муниципального образования  в отчетном финансовом году на финансирование отраслей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</si>
  <si>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</si>
  <si>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Объем  доходов муниципального образования (за исключением субвенций из бюджета автономного округа) в отчетном финансовом году</t>
  </si>
  <si>
    <t>Общий объем расходов местного бюджета, осуществляемых за счет субвенций из регионального фонда компенсаций в отчетном финансовом году</t>
  </si>
  <si>
    <t xml:space="preserve"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</si>
  <si>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</si>
  <si>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t>
  </si>
  <si>
    <t>имеется / не имеется
(имеется: И16 = 1,
не имеется: И16 = 0)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</si>
  <si>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 первоначально утвержденный решением о бюджете объем налоговых и неналоговых доходов  бюджета муниципального образования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</si>
  <si>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</si>
  <si>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</si>
  <si>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</si>
  <si>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>И15 = РП / Р,
где
РП –  расходы бюджета муниципального образования, формируемые в рамках долгосрочных и ведомственных целевых программ в отчетном финансовом году;
Р – общий объем расходов бюджета муниципального образования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 в отчетном финансовом году</t>
  </si>
  <si>
    <t xml:space="preserve"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</si>
  <si>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</si>
  <si>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</si>
  <si>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</si>
  <si>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осуществляется / не осуществляется
(осуществляется: И41 = 1,
не осуществляется: И41 = 0)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</si>
  <si>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</si>
  <si>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</si>
  <si>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</si>
  <si>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</si>
  <si>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</si>
  <si>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</si>
  <si>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</si>
  <si>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проводится / не проводится
(проводится: И53 = 1,
не проводится: И53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</si>
  <si>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</si>
  <si>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</si>
  <si>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</si>
  <si>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</si>
  <si>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</si>
  <si>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Березово</t>
  </si>
  <si>
    <t>Игрим</t>
  </si>
  <si>
    <t>Светлый</t>
  </si>
  <si>
    <t>Саранпауль</t>
  </si>
  <si>
    <t>Хулимсунт</t>
  </si>
  <si>
    <t>Приполярный</t>
  </si>
  <si>
    <t>Своевременность предоставления проекта бюджета на очередной финансовый год и плановый период в представительный орган</t>
  </si>
  <si>
    <t xml:space="preserve">Исполнение бюджета поселения  по доходам без учета безвозмездных поступлений </t>
  </si>
  <si>
    <r>
      <t xml:space="preserve">Разработка, реализация и мониторинг эффективности реализации долгосрочных и ведомственных целевых программ </t>
    </r>
    <r>
      <rPr>
        <sz val="11"/>
        <color indexed="8"/>
        <rFont val="Times New Roman"/>
        <family val="1"/>
      </rPr>
      <t>поселения</t>
    </r>
    <r>
      <rPr>
        <sz val="11"/>
        <color indexed="8"/>
        <rFont val="Times New Roman"/>
        <family val="1"/>
      </rPr>
      <t xml:space="preserve">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актом </t>
    </r>
  </si>
  <si>
    <t>Количество изменений, внесенных в решение о бюджете поселения</t>
  </si>
  <si>
    <t>Темп роста поступлений налоговых доходов бюджета поселения (без учета налоговых доходов по дополнительным нормативам отчислений) к соответствующему периоду прошлого года</t>
  </si>
  <si>
    <t>Темп роста поступлений неналоговых доходов бюджета поселения к соответствующему периоду прошлого года</t>
  </si>
  <si>
    <t>Отношение сумм финансовых нарушений, выявленных по актам ревизии, к расходам бюджета поселения</t>
  </si>
  <si>
    <r>
      <t xml:space="preserve">Отношение объема расходов бюджета поселения в IV квартале к среднему объему расходов за I – III кварталы </t>
    </r>
    <r>
      <rPr>
        <sz val="11"/>
        <color indexed="8"/>
        <rFont val="Times New Roman"/>
        <family val="1"/>
      </rPr>
      <t>(без учета расходов, осуществляемых за счет субсидий, субвенций и иных межбюджетных трансфертов,  имеющих целевое назначение из бюджета района</t>
    </r>
    <r>
      <rPr>
        <sz val="11"/>
        <color indexed="8"/>
        <rFont val="Times New Roman"/>
        <family val="1"/>
      </rPr>
      <t>)</t>
    </r>
  </si>
  <si>
    <t>Доля расходов бюджета поселения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поселения</t>
  </si>
  <si>
    <t>Отношение объема просроченной кредиторской задолженности бюджета муниципального образования  к общему объему расходов бюджета поселения</t>
  </si>
  <si>
    <t>Отсутствие просроченной кредиторской задолженности бюджета поселения за счет средств местного бюджета</t>
  </si>
  <si>
    <t>Количество передвижек в сводной бюджетной росписи, произведенных в отчетном году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</si>
  <si>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</t>
  </si>
  <si>
    <t>Отсутствие просроченной задолженности по долговым обязательствам</t>
  </si>
  <si>
    <t>Соотношение объема выплат по муниципальным гарантиям к общему объему представленных поселением гарантий</t>
  </si>
  <si>
    <t>Формирование муниципальных заданий на предоставление муниципальных услуг юридическим и физическим лицам на основании муниципального правового акта в отношении всех муниципальных услуг, утвержденных в перечне (реестре) муниципальных услуг,  оказываемых юридическим и физическим лицам в поселении</t>
  </si>
  <si>
    <t>Доля расходов бюджета поселения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поселения на финансирование отраслей социальной сферы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</si>
  <si>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t>
  </si>
  <si>
    <t>Наличие муниципального правового акта об утверждении программы повышения эффективности бюджетных расходов поселения</t>
  </si>
  <si>
    <t>4.8</t>
  </si>
  <si>
    <t>Размещение на официальном сайте решения о бюджете, отчета об исполнении бюджета</t>
  </si>
  <si>
    <r>
      <t xml:space="preserve">Ежемесячное </t>
    </r>
    <r>
      <rPr>
        <sz val="12"/>
        <color indexed="8"/>
        <rFont val="Times New Roman"/>
        <family val="1"/>
      </rPr>
      <t>размещение на официальном сайте органов местного самоуправления</t>
    </r>
    <r>
      <rPr>
        <sz val="12"/>
        <color indexed="8"/>
        <rFont val="Times New Roman"/>
        <family val="1"/>
      </rPr>
      <t xml:space="preserve"> отчетов об исполнении бюджета поселения</t>
    </r>
  </si>
  <si>
    <r>
      <t xml:space="preserve">Проведение внешней проверки отчета об исполнении бюджета поселения </t>
    </r>
    <r>
      <rPr>
        <sz val="12"/>
        <color indexed="8"/>
        <rFont val="Times New Roman"/>
        <family val="1"/>
      </rPr>
      <t>в отчетном финансовом году</t>
    </r>
    <r>
      <rPr>
        <sz val="12"/>
        <color indexed="8"/>
        <rFont val="Times New Roman"/>
        <family val="1"/>
      </rPr>
      <t xml:space="preserve"> контрольным органом, созданным представительным органом городского (сельского) поселения (переданным полномочием)</t>
    </r>
  </si>
  <si>
    <t>Размещение на официальном сайте проектов  нормативных правовых актов в соответствии с порядком проведения независимой антикоррупционной экспертизы</t>
  </si>
  <si>
    <t>Проведение публичных слушаний по проекту бюджета поселения и проекту отчета об исполнении бюджета поселения в соответствии с установленным порядком</t>
  </si>
  <si>
    <t>Размещение на официальном сайте органов местного самоуправления информации о целевых программах (долгосрочных и ведомственных) поселения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поселения</t>
  </si>
  <si>
    <t>Своевременность, объективность и достоверность предоставления бюджетной отчетности в Комитет по финансам</t>
  </si>
  <si>
    <t>Соблюдение установленных нормативов формирования расходов на содержание органов местного самоуправления поселений Березовского района за отчетный финансовый год</t>
  </si>
  <si>
    <t>Отношение объема заимствований поселением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</si>
  <si>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Отношение объема расходов на обслуживание муниципального долга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</si>
  <si>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поселения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году[1]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</si>
  <si>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поступлений налоговых доходов по дополнительным нормативам отчислений[1]</t>
  </si>
  <si>
    <r>
      <t xml:space="preserve">Доля расходов бюджета </t>
    </r>
    <r>
      <rPr>
        <sz val="12"/>
        <color indexed="8"/>
        <rFont val="Times New Roman"/>
        <family val="1"/>
      </rPr>
      <t>поселения</t>
    </r>
    <r>
      <rPr>
        <sz val="12"/>
        <color indexed="8"/>
        <rFont val="Times New Roman"/>
        <family val="1"/>
      </rPr>
      <t>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 субсидий, предоставляемых в рамках целевых программ)</t>
    </r>
  </si>
  <si>
    <t>Средняя сводная оценка качества по городским и сельским поселениям</t>
  </si>
  <si>
    <t>Размер гранта</t>
  </si>
  <si>
    <t xml:space="preserve">    Г  = Д x (СОК  - СОК  ) / SUM  [(СОК  - СОК  )], где:</t>
  </si>
  <si>
    <t xml:space="preserve">     j           j      ср       j      j      ср</t>
  </si>
  <si>
    <t xml:space="preserve">     j</t>
  </si>
  <si>
    <t xml:space="preserve">    Д - объем  средств  на  предоставление  грантов  (дотаций) на очередной</t>
  </si>
  <si>
    <t>финансовый год,</t>
  </si>
  <si>
    <t xml:space="preserve">    СОК  - сводная  оценка  качества  для  j-го  муниципального образования</t>
  </si>
  <si>
    <t xml:space="preserve">       j</t>
  </si>
  <si>
    <t xml:space="preserve">    СОК   - среднее  значение  сводной  оценки  качества  по  муниципальным</t>
  </si>
  <si>
    <t xml:space="preserve">       ср</t>
  </si>
  <si>
    <t>Данные показателей для расчета индикаторов оценки качества организации и осуществления бюджетного процесса в городских и сельских поселениях Берёзовского района</t>
  </si>
  <si>
    <t>Индикаторы для оценки качества организации и осуществления бюджетного процесса в городских и сельских поселениях Берёзовского района</t>
  </si>
  <si>
    <t>Сводная оценка качества организации и осуществления бюджетного процесса в городских и сельских поселениях Берёзовского района</t>
  </si>
  <si>
    <t>Размер гранта городскому, сельскому поселению Берёзовского района чья итоговая оценка качества выше средней</t>
  </si>
  <si>
    <t xml:space="preserve">Наименования гордского, сельского поселения </t>
  </si>
  <si>
    <t>образованиям района.</t>
  </si>
  <si>
    <t>района,</t>
  </si>
  <si>
    <t xml:space="preserve">    Г  - размер гранта j-му муниципальному образованию района,</t>
  </si>
  <si>
    <t>Б.П.+М.О</t>
  </si>
  <si>
    <t>ОБ=Субвенции- наказы+Об</t>
  </si>
  <si>
    <t>только МБ</t>
  </si>
  <si>
    <t>источник 002</t>
  </si>
  <si>
    <t>КФСР - 07,08,09,10,11</t>
  </si>
  <si>
    <t>субвенции</t>
  </si>
  <si>
    <t>размещены на басгов.ру</t>
  </si>
  <si>
    <t>КЦСР - 3510000,3500000 + за газ (у саранпауля цел.7950000)</t>
  </si>
  <si>
    <t>запросить в поселениях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</si>
</sst>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6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0" fillId="0" borderId="0" xfId="0" applyNumberFormat="1" applyFont="1" applyAlignment="1">
      <alignment/>
    </xf>
    <xf numFmtId="49" fontId="0" fillId="0" borderId="0" xfId="0" applyNumberForma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9" fontId="5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" fontId="13" fillId="0" borderId="0" xfId="0" applyNumberFormat="1" applyFont="1" applyFill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10" fillId="0" borderId="10" xfId="54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0" fontId="2" fillId="34" borderId="10" xfId="54" applyFont="1" applyFill="1" applyBorder="1" applyAlignment="1">
      <alignment horizontal="center" vertical="center"/>
      <protection/>
    </xf>
    <xf numFmtId="4" fontId="8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5" fillId="34" borderId="10" xfId="54" applyNumberFormat="1" applyFont="1" applyFill="1" applyBorder="1" applyAlignment="1">
      <alignment horizontal="center" vertical="center" wrapText="1"/>
      <protection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/>
      <protection/>
    </xf>
    <xf numFmtId="0" fontId="18" fillId="0" borderId="0" xfId="42" applyAlignment="1" applyProtection="1">
      <alignment/>
      <protection/>
    </xf>
    <xf numFmtId="0" fontId="12" fillId="0" borderId="10" xfId="42" applyFont="1" applyBorder="1" applyAlignment="1" applyProtection="1">
      <alignment wrapText="1"/>
      <protection/>
    </xf>
    <xf numFmtId="0" fontId="10" fillId="0" borderId="10" xfId="0" applyFont="1" applyBorder="1" applyAlignment="1">
      <alignment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left" vertical="center" wrapText="1"/>
    </xf>
    <xf numFmtId="1" fontId="10" fillId="35" borderId="22" xfId="0" applyNumberFormat="1" applyFont="1" applyFill="1" applyBorder="1" applyAlignment="1">
      <alignment horizontal="center" vertical="center" wrapText="1"/>
    </xf>
    <xf numFmtId="2" fontId="10" fillId="35" borderId="22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60" fillId="35" borderId="0" xfId="0" applyFont="1" applyFill="1" applyAlignment="1">
      <alignment/>
    </xf>
    <xf numFmtId="0" fontId="60" fillId="35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45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9" fontId="3" fillId="35" borderId="10" xfId="60" applyFont="1" applyFill="1" applyBorder="1" applyAlignment="1">
      <alignment horizontal="center" vertical="center" wrapText="1"/>
    </xf>
    <xf numFmtId="10" fontId="3" fillId="35" borderId="10" xfId="6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0" fontId="20" fillId="0" borderId="26" xfId="0" applyFont="1" applyFill="1" applyBorder="1" applyAlignment="1">
      <alignment/>
    </xf>
    <xf numFmtId="0" fontId="64" fillId="36" borderId="10" xfId="0" applyFont="1" applyFill="1" applyBorder="1" applyAlignment="1">
      <alignment wrapText="1"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3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/>
    </xf>
    <xf numFmtId="0" fontId="10" fillId="36" borderId="10" xfId="54" applyFont="1" applyFill="1" applyBorder="1" applyAlignment="1">
      <alignment horizontal="left" vertical="center" wrapText="1"/>
      <protection/>
    </xf>
    <xf numFmtId="0" fontId="65" fillId="36" borderId="0" xfId="0" applyFont="1" applyFill="1" applyAlignment="1">
      <alignment wrapText="1"/>
    </xf>
    <xf numFmtId="0" fontId="62" fillId="36" borderId="10" xfId="0" applyFont="1" applyFill="1" applyBorder="1" applyAlignment="1">
      <alignment wrapText="1"/>
    </xf>
    <xf numFmtId="3" fontId="64" fillId="36" borderId="10" xfId="0" applyNumberFormat="1" applyFont="1" applyFill="1" applyBorder="1" applyAlignment="1">
      <alignment horizontal="center" vertical="center" wrapText="1"/>
    </xf>
    <xf numFmtId="3" fontId="56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0" fontId="66" fillId="36" borderId="0" xfId="0" applyFont="1" applyFill="1" applyAlignment="1">
      <alignment wrapText="1"/>
    </xf>
    <xf numFmtId="49" fontId="15" fillId="36" borderId="10" xfId="54" applyNumberFormat="1" applyFont="1" applyFill="1" applyBorder="1" applyAlignment="1">
      <alignment horizontal="center" vertical="center" wrapText="1"/>
      <protection/>
    </xf>
    <xf numFmtId="0" fontId="67" fillId="36" borderId="10" xfId="0" applyFont="1" applyFill="1" applyBorder="1" applyAlignment="1">
      <alignment wrapText="1"/>
    </xf>
    <xf numFmtId="49" fontId="10" fillId="36" borderId="13" xfId="54" applyNumberFormat="1" applyFont="1" applyFill="1" applyBorder="1" applyAlignment="1">
      <alignment horizontal="center" vertical="center" wrapText="1"/>
      <protection/>
    </xf>
    <xf numFmtId="0" fontId="67" fillId="36" borderId="0" xfId="0" applyFont="1" applyFill="1" applyAlignment="1">
      <alignment wrapText="1"/>
    </xf>
    <xf numFmtId="165" fontId="8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3" fontId="10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64" fillId="36" borderId="0" xfId="0" applyFont="1" applyFill="1" applyAlignment="1">
      <alignment wrapText="1"/>
    </xf>
    <xf numFmtId="2" fontId="5" fillId="36" borderId="10" xfId="0" applyNumberFormat="1" applyFont="1" applyFill="1" applyBorder="1" applyAlignment="1">
      <alignment horizontal="left" vertical="center" wrapText="1"/>
    </xf>
    <xf numFmtId="0" fontId="15" fillId="36" borderId="10" xfId="54" applyFont="1" applyFill="1" applyBorder="1" applyAlignment="1">
      <alignment horizontal="left" vertical="center" wrapText="1"/>
      <protection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6" fillId="36" borderId="10" xfId="0" applyFont="1" applyFill="1" applyBorder="1" applyAlignment="1">
      <alignment wrapText="1"/>
    </xf>
    <xf numFmtId="3" fontId="8" fillId="36" borderId="10" xfId="0" applyNumberFormat="1" applyFont="1" applyFill="1" applyBorder="1" applyAlignment="1">
      <alignment horizontal="center" vertical="center"/>
    </xf>
    <xf numFmtId="165" fontId="64" fillId="36" borderId="10" xfId="0" applyNumberFormat="1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/>
    </xf>
    <xf numFmtId="10" fontId="15" fillId="35" borderId="10" xfId="60" applyNumberFormat="1" applyFont="1" applyFill="1" applyBorder="1" applyAlignment="1">
      <alignment horizontal="center" vertical="center" wrapText="1"/>
    </xf>
    <xf numFmtId="0" fontId="60" fillId="36" borderId="24" xfId="0" applyFont="1" applyFill="1" applyBorder="1" applyAlignment="1">
      <alignment/>
    </xf>
    <xf numFmtId="165" fontId="68" fillId="0" borderId="10" xfId="0" applyNumberFormat="1" applyFont="1" applyFill="1" applyBorder="1" applyAlignment="1">
      <alignment horizontal="center" vertical="center" wrapText="1"/>
    </xf>
    <xf numFmtId="165" fontId="69" fillId="0" borderId="10" xfId="0" applyNumberFormat="1" applyFont="1" applyFill="1" applyBorder="1" applyAlignment="1">
      <alignment horizontal="center" vertical="center" wrapText="1"/>
    </xf>
    <xf numFmtId="165" fontId="69" fillId="35" borderId="10" xfId="0" applyNumberFormat="1" applyFont="1" applyFill="1" applyBorder="1" applyAlignment="1">
      <alignment horizontal="center" vertical="center" wrapText="1"/>
    </xf>
    <xf numFmtId="165" fontId="70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justify" wrapText="1"/>
    </xf>
    <xf numFmtId="0" fontId="72" fillId="0" borderId="0" xfId="0" applyFont="1" applyBorder="1" applyAlignment="1">
      <alignment wrapText="1"/>
    </xf>
    <xf numFmtId="0" fontId="7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73" fillId="0" borderId="24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8" sqref="I18"/>
    </sheetView>
  </sheetViews>
  <sheetFormatPr defaultColWidth="9.140625" defaultRowHeight="15"/>
  <cols>
    <col min="1" max="1" width="6.421875" style="72" customWidth="1"/>
    <col min="2" max="2" width="25.28125" style="73" customWidth="1"/>
    <col min="3" max="3" width="18.140625" style="72" customWidth="1"/>
    <col min="4" max="4" width="19.140625" style="72" customWidth="1"/>
    <col min="5" max="5" width="23.140625" style="72" customWidth="1"/>
    <col min="6" max="6" width="17.57421875" style="72" customWidth="1"/>
    <col min="7" max="7" width="15.421875" style="72" customWidth="1"/>
    <col min="8" max="16384" width="9.140625" style="72" customWidth="1"/>
  </cols>
  <sheetData>
    <row r="1" ht="15">
      <c r="G1" s="72" t="s">
        <v>181</v>
      </c>
    </row>
    <row r="2" spans="1:7" ht="57.75" customHeight="1">
      <c r="A2" s="193" t="s">
        <v>234</v>
      </c>
      <c r="B2" s="193"/>
      <c r="C2" s="193"/>
      <c r="D2" s="193"/>
      <c r="E2" s="193"/>
      <c r="F2" s="193"/>
      <c r="G2" s="193"/>
    </row>
    <row r="3" ht="15.75" thickBot="1"/>
    <row r="4" spans="1:10" ht="27" customHeight="1">
      <c r="A4" s="194" t="s">
        <v>0</v>
      </c>
      <c r="B4" s="196" t="s">
        <v>6</v>
      </c>
      <c r="C4" s="198" t="s">
        <v>29</v>
      </c>
      <c r="D4" s="199"/>
      <c r="E4" s="199"/>
      <c r="F4" s="199"/>
      <c r="G4" s="200"/>
      <c r="H4" s="74"/>
      <c r="I4" s="74"/>
      <c r="J4" s="74"/>
    </row>
    <row r="5" spans="1:10" ht="73.5" customHeight="1" thickBot="1">
      <c r="A5" s="195"/>
      <c r="B5" s="197"/>
      <c r="C5" s="86" t="s">
        <v>82</v>
      </c>
      <c r="D5" s="86" t="s">
        <v>28</v>
      </c>
      <c r="E5" s="86" t="s">
        <v>56</v>
      </c>
      <c r="F5" s="86" t="s">
        <v>31</v>
      </c>
      <c r="G5" s="86" t="s">
        <v>58</v>
      </c>
      <c r="H5" s="75"/>
      <c r="I5" s="75"/>
      <c r="J5" s="75"/>
    </row>
    <row r="6" spans="1:10" ht="57.75" thickBot="1">
      <c r="A6" s="88"/>
      <c r="B6" s="89" t="s">
        <v>221</v>
      </c>
      <c r="C6" s="90"/>
      <c r="D6" s="90">
        <f>AVERAGE(D7:D12)</f>
        <v>33.696261660507055</v>
      </c>
      <c r="E6" s="90"/>
      <c r="F6" s="90">
        <f>AVERAGE(F7:F12)</f>
        <v>32.8834648009905</v>
      </c>
      <c r="G6" s="90"/>
      <c r="H6" s="75"/>
      <c r="I6" s="75"/>
      <c r="J6" s="75"/>
    </row>
    <row r="7" spans="1:10" ht="15">
      <c r="A7" s="87">
        <v>1</v>
      </c>
      <c r="B7" s="122" t="s">
        <v>182</v>
      </c>
      <c r="C7" s="123">
        <v>0</v>
      </c>
      <c r="D7" s="124">
        <f>HLOOKUP(B7,Оценки!$A$4:$N$6,2,0)</f>
        <v>32.25</v>
      </c>
      <c r="E7" s="123">
        <f>HLOOKUP(B7,'Нарушения БК'!$F$1:$K$7,ROW('Нарушения БК'!$A$7),0)</f>
        <v>0</v>
      </c>
      <c r="F7" s="124">
        <f aca="true" t="shared" si="0" ref="F7:F12">(1-0.05*E7)*D7</f>
        <v>32.25</v>
      </c>
      <c r="G7" s="123">
        <f aca="true" t="shared" si="1" ref="G7:G12">RANK(F7,$F$7:$F$12,0)</f>
        <v>3</v>
      </c>
      <c r="H7" s="75"/>
      <c r="I7" s="75"/>
      <c r="J7" s="75"/>
    </row>
    <row r="8" spans="1:10" ht="15">
      <c r="A8" s="76">
        <v>2</v>
      </c>
      <c r="B8" s="125" t="s">
        <v>183</v>
      </c>
      <c r="C8" s="126">
        <v>0</v>
      </c>
      <c r="D8" s="127">
        <f>HLOOKUP(B8,Оценки!$A$4:$N$6,2,0)</f>
        <v>37.993513597238874</v>
      </c>
      <c r="E8" s="126">
        <f>HLOOKUP(B8,'Нарушения БК'!$F$1:$K$7,ROW('Нарушения БК'!$A$7),0)</f>
        <v>0</v>
      </c>
      <c r="F8" s="127">
        <f t="shared" si="0"/>
        <v>37.993513597238874</v>
      </c>
      <c r="G8" s="126">
        <f t="shared" si="1"/>
        <v>1</v>
      </c>
      <c r="H8" s="128"/>
      <c r="I8" s="75"/>
      <c r="J8" s="75"/>
    </row>
    <row r="9" spans="1:10" ht="15">
      <c r="A9" s="76">
        <v>3</v>
      </c>
      <c r="B9" s="125" t="s">
        <v>184</v>
      </c>
      <c r="C9" s="126">
        <v>0</v>
      </c>
      <c r="D9" s="127">
        <f>HLOOKUP(B9,Оценки!$A$4:$N$6,2,0)</f>
        <v>33.373035589893746</v>
      </c>
      <c r="E9" s="126">
        <f>HLOOKUP(B9,'Нарушения БК'!$F$1:$K$7,ROW('Нарушения БК'!$A$7),0)</f>
        <v>1</v>
      </c>
      <c r="F9" s="127">
        <f t="shared" si="0"/>
        <v>31.704383810399058</v>
      </c>
      <c r="G9" s="126">
        <f t="shared" si="1"/>
        <v>5</v>
      </c>
      <c r="H9" s="128"/>
      <c r="I9" s="75"/>
      <c r="J9" s="75"/>
    </row>
    <row r="10" spans="1:10" ht="15">
      <c r="A10" s="76">
        <v>4</v>
      </c>
      <c r="B10" s="125" t="s">
        <v>185</v>
      </c>
      <c r="C10" s="126">
        <v>0</v>
      </c>
      <c r="D10" s="127">
        <f>HLOOKUP(B10,Оценки!$A$4:$N$6,2,0)</f>
        <v>30.75921341531525</v>
      </c>
      <c r="E10" s="126">
        <f>HLOOKUP(B10,'Нарушения БК'!$F$1:$K$7,ROW('Нарушения БК'!$A$7),0)</f>
        <v>1</v>
      </c>
      <c r="F10" s="127">
        <f t="shared" si="0"/>
        <v>29.22125274454949</v>
      </c>
      <c r="G10" s="126">
        <f t="shared" si="1"/>
        <v>6</v>
      </c>
      <c r="H10" s="128"/>
      <c r="I10" s="75"/>
      <c r="J10" s="75"/>
    </row>
    <row r="11" spans="1:10" ht="15">
      <c r="A11" s="76">
        <v>5</v>
      </c>
      <c r="B11" s="125" t="s">
        <v>186</v>
      </c>
      <c r="C11" s="126">
        <v>0</v>
      </c>
      <c r="D11" s="127">
        <f>HLOOKUP(B11,Оценки!$A$4:$N$6,2,0)</f>
        <v>34.3984332238169</v>
      </c>
      <c r="E11" s="126">
        <f>HLOOKUP(B11,'Нарушения БК'!$F$1:$K$7,ROW('Нарушения БК'!$A$7),0)</f>
        <v>0</v>
      </c>
      <c r="F11" s="127">
        <f t="shared" si="0"/>
        <v>34.3984332238169</v>
      </c>
      <c r="G11" s="126">
        <f t="shared" si="1"/>
        <v>2</v>
      </c>
      <c r="H11" s="128"/>
      <c r="I11" s="75"/>
      <c r="J11" s="75"/>
    </row>
    <row r="12" spans="1:10" ht="15">
      <c r="A12" s="129">
        <v>6</v>
      </c>
      <c r="B12" s="125" t="s">
        <v>187</v>
      </c>
      <c r="C12" s="126">
        <v>0</v>
      </c>
      <c r="D12" s="127">
        <f>HLOOKUP(B12,Оценки!$A$4:$N$6,2,0)</f>
        <v>33.40337413677757</v>
      </c>
      <c r="E12" s="126">
        <f>HLOOKUP(B12,'Нарушения БК'!$F$1:$K$7,ROW('Нарушения БК'!$A$7),0)</f>
        <v>1</v>
      </c>
      <c r="F12" s="127">
        <f t="shared" si="0"/>
        <v>31.733205429938693</v>
      </c>
      <c r="G12" s="126">
        <f t="shared" si="1"/>
        <v>4</v>
      </c>
      <c r="H12" s="75"/>
      <c r="I12" s="75"/>
      <c r="J12" s="75"/>
    </row>
    <row r="13" spans="1:10" ht="15.75" thickBot="1">
      <c r="A13" s="77"/>
      <c r="B13" s="78" t="s">
        <v>30</v>
      </c>
      <c r="C13" s="79"/>
      <c r="D13" s="79"/>
      <c r="E13" s="79"/>
      <c r="F13" s="79"/>
      <c r="G13" s="79"/>
      <c r="H13" s="75"/>
      <c r="I13" s="75"/>
      <c r="J13" s="75"/>
    </row>
    <row r="14" spans="1:10" ht="15">
      <c r="A14" s="80"/>
      <c r="B14" s="81"/>
      <c r="C14" s="82"/>
      <c r="D14" s="82"/>
      <c r="E14" s="82"/>
      <c r="F14" s="82"/>
      <c r="G14" s="82"/>
      <c r="H14" s="75"/>
      <c r="I14" s="75"/>
      <c r="J14" s="75"/>
    </row>
    <row r="15" spans="1:7" ht="15">
      <c r="A15" s="83"/>
      <c r="B15" s="84"/>
      <c r="C15" s="85"/>
      <c r="D15" s="85"/>
      <c r="E15" s="85"/>
      <c r="F15" s="85"/>
      <c r="G15" s="85"/>
    </row>
    <row r="17" spans="2:7" ht="34.5" customHeight="1" thickBot="1">
      <c r="B17" s="201"/>
      <c r="C17" s="202"/>
      <c r="D17" s="203" t="s">
        <v>235</v>
      </c>
      <c r="E17" s="204"/>
      <c r="F17" s="204"/>
      <c r="G17" s="204"/>
    </row>
    <row r="18" spans="2:6" ht="50.25" customHeight="1" thickBot="1">
      <c r="B18" s="140"/>
      <c r="C18" s="141"/>
      <c r="E18" s="144" t="s">
        <v>236</v>
      </c>
      <c r="F18" s="145" t="s">
        <v>222</v>
      </c>
    </row>
    <row r="19" spans="2:6" ht="15.75" thickBot="1">
      <c r="B19" s="142"/>
      <c r="C19" s="143"/>
      <c r="E19" s="155" t="s">
        <v>186</v>
      </c>
      <c r="F19" s="154">
        <f>1000*(48.68-45.41)/((46.5-45.41)+(46.24-45.41)+(48.68-45.41))</f>
        <v>630.0578034682072</v>
      </c>
    </row>
    <row r="20" spans="2:6" ht="15.75" thickBot="1">
      <c r="B20" s="142"/>
      <c r="C20" s="143"/>
      <c r="E20" s="155" t="s">
        <v>182</v>
      </c>
      <c r="F20" s="154">
        <f>1000*(46.5-45.41)/((46.5-45.41)+(46.24-45.41)+(48.68-45.41))</f>
        <v>210.0192678227362</v>
      </c>
    </row>
    <row r="21" spans="5:6" ht="15.75" thickBot="1">
      <c r="E21" s="156" t="s">
        <v>184</v>
      </c>
      <c r="F21" s="154">
        <f>1000*(46.24-45.41)/((46.5-45.41)+(46.24-45.41)+(48.68-45.41))</f>
        <v>159.92292870905655</v>
      </c>
    </row>
    <row r="22" spans="5:6" ht="15.75" thickBot="1">
      <c r="E22" s="156" t="s">
        <v>30</v>
      </c>
      <c r="F22" s="154">
        <f>F19+F20+F21</f>
        <v>1000</v>
      </c>
    </row>
    <row r="23" ht="15">
      <c r="D23" s="146" t="s">
        <v>223</v>
      </c>
    </row>
    <row r="24" ht="15">
      <c r="D24" s="146" t="s">
        <v>224</v>
      </c>
    </row>
    <row r="25" ht="15">
      <c r="D25" s="146"/>
    </row>
    <row r="26" ht="15">
      <c r="D26" s="146" t="s">
        <v>239</v>
      </c>
    </row>
    <row r="27" ht="15">
      <c r="D27" s="146" t="s">
        <v>225</v>
      </c>
    </row>
    <row r="28" ht="15">
      <c r="D28" s="146" t="s">
        <v>226</v>
      </c>
    </row>
    <row r="29" ht="15">
      <c r="D29" s="146" t="s">
        <v>227</v>
      </c>
    </row>
    <row r="30" ht="15">
      <c r="D30" s="146" t="s">
        <v>228</v>
      </c>
    </row>
    <row r="31" ht="15">
      <c r="D31" s="146" t="s">
        <v>229</v>
      </c>
    </row>
    <row r="32" ht="15">
      <c r="D32" s="146" t="s">
        <v>238</v>
      </c>
    </row>
    <row r="33" ht="15">
      <c r="D33" s="146" t="s">
        <v>230</v>
      </c>
    </row>
    <row r="34" ht="15">
      <c r="D34" s="146" t="s">
        <v>231</v>
      </c>
    </row>
    <row r="35" ht="15">
      <c r="D35" s="146" t="s">
        <v>237</v>
      </c>
    </row>
    <row r="36" ht="18.75">
      <c r="D36" s="147"/>
    </row>
  </sheetData>
  <sheetProtection/>
  <mergeCells count="6">
    <mergeCell ref="A2:G2"/>
    <mergeCell ref="A4:A5"/>
    <mergeCell ref="B4:B5"/>
    <mergeCell ref="C4:G4"/>
    <mergeCell ref="B17:C17"/>
    <mergeCell ref="D17:G17"/>
  </mergeCells>
  <printOptions/>
  <pageMargins left="0.1968503937007874" right="0.1968503937007874" top="0.3937007874015748" bottom="0.7480314960629921" header="0.15748031496062992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7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G1" sqref="G1"/>
    </sheetView>
  </sheetViews>
  <sheetFormatPr defaultColWidth="9.140625" defaultRowHeight="15"/>
  <cols>
    <col min="1" max="1" width="4.140625" style="2" bestFit="1" customWidth="1"/>
    <col min="2" max="2" width="32.00390625" style="0" customWidth="1"/>
    <col min="3" max="3" width="43.8515625" style="0" bestFit="1" customWidth="1"/>
    <col min="4" max="5" width="11.421875" style="0" bestFit="1" customWidth="1"/>
    <col min="6" max="6" width="15.421875" style="0" bestFit="1" customWidth="1"/>
    <col min="7" max="7" width="10.140625" style="0" customWidth="1"/>
    <col min="8" max="8" width="11.57421875" style="0" bestFit="1" customWidth="1"/>
    <col min="9" max="9" width="16.57421875" style="0" customWidth="1"/>
    <col min="10" max="10" width="16.00390625" style="0" customWidth="1"/>
    <col min="11" max="11" width="19.28125" style="0" customWidth="1"/>
  </cols>
  <sheetData>
    <row r="1" spans="1:11" ht="47.25">
      <c r="A1" s="3" t="s">
        <v>0</v>
      </c>
      <c r="B1" s="3" t="s">
        <v>7</v>
      </c>
      <c r="C1" s="3" t="s">
        <v>8</v>
      </c>
      <c r="D1" s="3" t="s">
        <v>9</v>
      </c>
      <c r="E1" s="3" t="s">
        <v>10</v>
      </c>
      <c r="F1" s="115" t="s">
        <v>182</v>
      </c>
      <c r="G1" s="115" t="s">
        <v>183</v>
      </c>
      <c r="H1" s="115" t="s">
        <v>184</v>
      </c>
      <c r="I1" s="115" t="s">
        <v>185</v>
      </c>
      <c r="J1" s="115" t="s">
        <v>186</v>
      </c>
      <c r="K1" s="115" t="s">
        <v>187</v>
      </c>
    </row>
    <row r="2" spans="1:11" ht="94.5">
      <c r="A2" s="14" t="s">
        <v>61</v>
      </c>
      <c r="B2" s="5" t="s">
        <v>111</v>
      </c>
      <c r="C2" s="6" t="s">
        <v>180</v>
      </c>
      <c r="D2" s="4">
        <v>0</v>
      </c>
      <c r="E2" s="4">
        <v>1</v>
      </c>
      <c r="F2" s="8">
        <f>1*IF(Данные!F83=0,1)</f>
        <v>0</v>
      </c>
      <c r="G2" s="8">
        <f>1*IF(Данные!G83=0,1)</f>
        <v>0</v>
      </c>
      <c r="H2" s="8">
        <f>1*IF(Данные!H83=0,1)</f>
        <v>0</v>
      </c>
      <c r="I2" s="8">
        <f>1*IF(Данные!I83=0,1)</f>
        <v>0</v>
      </c>
      <c r="J2" s="8">
        <f>1*IF(Данные!J83=0,1)</f>
        <v>0</v>
      </c>
      <c r="K2" s="8">
        <f>1*IF(Данные!K83=0,1)</f>
        <v>0</v>
      </c>
    </row>
    <row r="3" spans="1:11" ht="189">
      <c r="A3" s="14" t="s">
        <v>62</v>
      </c>
      <c r="B3" s="5" t="s">
        <v>66</v>
      </c>
      <c r="C3" s="6" t="s">
        <v>112</v>
      </c>
      <c r="D3" s="57">
        <v>0</v>
      </c>
      <c r="E3" s="57">
        <v>1</v>
      </c>
      <c r="F3" s="8">
        <f>1*(Данные!F84&gt;$E$3)</f>
        <v>0</v>
      </c>
      <c r="G3" s="8">
        <f>1*(Данные!G84&gt;$E$3)</f>
        <v>0</v>
      </c>
      <c r="H3" s="8">
        <f>1*(Данные!H84&gt;$E$3)</f>
        <v>0</v>
      </c>
      <c r="I3" s="8">
        <f>1*(Данные!I84&gt;$E$3)</f>
        <v>0</v>
      </c>
      <c r="J3" s="8">
        <f>1*(Данные!J84&gt;$E$3)</f>
        <v>0</v>
      </c>
      <c r="K3" s="8">
        <f>1*(Данные!K84&gt;$E$3)</f>
        <v>0</v>
      </c>
    </row>
    <row r="4" spans="1:11" ht="204.75">
      <c r="A4" s="14" t="s">
        <v>63</v>
      </c>
      <c r="B4" s="5" t="s">
        <v>114</v>
      </c>
      <c r="C4" s="6" t="s">
        <v>115</v>
      </c>
      <c r="D4" s="57">
        <v>0</v>
      </c>
      <c r="E4" s="57">
        <v>0.15</v>
      </c>
      <c r="F4" s="8">
        <f>1*(Данные!F85&gt;$E$4)</f>
        <v>0</v>
      </c>
      <c r="G4" s="8">
        <f>1*(Данные!G85&gt;$E$4)</f>
        <v>0</v>
      </c>
      <c r="H4" s="8">
        <f>1*(Данные!H85&gt;$E$4)</f>
        <v>0</v>
      </c>
      <c r="I4" s="8">
        <f>1*(Данные!I85&gt;$E$4)</f>
        <v>0</v>
      </c>
      <c r="J4" s="8">
        <f>1*(Данные!J85&gt;$E$4)</f>
        <v>0</v>
      </c>
      <c r="K4" s="8">
        <f>1*(Данные!K85&gt;$E$4)</f>
        <v>0</v>
      </c>
    </row>
    <row r="5" spans="1:11" ht="173.25">
      <c r="A5" s="14" t="s">
        <v>64</v>
      </c>
      <c r="B5" s="5" t="s">
        <v>116</v>
      </c>
      <c r="C5" s="6" t="s">
        <v>117</v>
      </c>
      <c r="D5" s="57">
        <v>0</v>
      </c>
      <c r="E5" s="57">
        <v>0.1</v>
      </c>
      <c r="F5" s="8">
        <f>IF(Данные!F86&gt;($E$5-0.05*VLOOKUP(F$1,Рейтинг!$B$7:$C$12,COLUMN(Рейтинг!$C:$C)-COLUMN(Рейтинг!$B:$B)+1,FALSE)),1,0)</f>
        <v>0</v>
      </c>
      <c r="G5" s="8">
        <f>IF(Данные!G86&gt;($E$5-0.05*VLOOKUP(G$1,Рейтинг!$B$7:$C$12,COLUMN(Рейтинг!$C:$C)-COLUMN(Рейтинг!$B:$B)+1,FALSE)),1,0)</f>
        <v>0</v>
      </c>
      <c r="H5" s="8">
        <f>IF(Данные!H86&gt;($E$5-0.05*VLOOKUP(H$1,Рейтинг!$B$7:$C$12,COLUMN(Рейтинг!$C:$C)-COLUMN(Рейтинг!$B:$B)+1,FALSE)),1,0)</f>
        <v>1</v>
      </c>
      <c r="I5" s="8">
        <f>IF(Данные!I86&gt;($E$5-0.05*VLOOKUP(I$1,Рейтинг!$B$7:$C$12,COLUMN(Рейтинг!$C:$C)-COLUMN(Рейтинг!$B:$B)+1,FALSE)),1,0)</f>
        <v>1</v>
      </c>
      <c r="J5" s="8">
        <f>IF(Данные!J86&gt;($E$5-0.05*VLOOKUP(J$1,Рейтинг!$B$7:$C$12,COLUMN(Рейтинг!$C:$C)-COLUMN(Рейтинг!$B:$B)+1,FALSE)),1,0)</f>
        <v>0</v>
      </c>
      <c r="K5" s="8">
        <f>IF(Данные!K86&gt;($E$5-0.05*VLOOKUP(K$1,Рейтинг!$B$7:$C$12,COLUMN(Рейтинг!$C:$C)-COLUMN(Рейтинг!$B:$B)+1,FALSE)),1,0)</f>
        <v>1</v>
      </c>
    </row>
    <row r="6" spans="1:11" ht="173.25">
      <c r="A6" s="14" t="s">
        <v>113</v>
      </c>
      <c r="B6" s="5" t="s">
        <v>118</v>
      </c>
      <c r="C6" s="6" t="s">
        <v>119</v>
      </c>
      <c r="D6" s="57">
        <v>0</v>
      </c>
      <c r="E6" s="57">
        <v>1</v>
      </c>
      <c r="F6" s="8">
        <f>IF(Данные!F87&gt;($E$6-0.5*VLOOKUP(F$1,Рейтинг!$B$7:$C$12,COLUMN(Рейтинг!$C:$C)-COLUMN(Рейтинг!$B:$B)+1,FALSE)),1,0)</f>
        <v>0</v>
      </c>
      <c r="G6" s="8">
        <f>IF(Данные!G87&gt;($E$6-0.5*VLOOKUP(G$1,Рейтинг!$B$7:$C$12,COLUMN(Рейтинг!$C:$C)-COLUMN(Рейтинг!$B:$B)+1,FALSE)),1,0)</f>
        <v>0</v>
      </c>
      <c r="H6" s="8">
        <f>IF(Данные!H87&gt;($E$6-0.5*VLOOKUP(H$1,Рейтинг!$B$7:$C$12,COLUMN(Рейтинг!$C:$C)-COLUMN(Рейтинг!$B:$B)+1,FALSE)),1,0)</f>
        <v>0</v>
      </c>
      <c r="I6" s="8">
        <f>IF(Данные!I87&gt;($E$6-0.5*VLOOKUP(I$1,Рейтинг!$B$7:$C$12,COLUMN(Рейтинг!$C:$C)-COLUMN(Рейтинг!$B:$B)+1,FALSE)),1,0)</f>
        <v>0</v>
      </c>
      <c r="J6" s="8">
        <f>IF(Данные!J87&gt;($E$6-0.5*VLOOKUP(J$1,Рейтинг!$B$7:$C$12,COLUMN(Рейтинг!$C:$C)-COLUMN(Рейтинг!$B:$B)+1,FALSE)),1,0)</f>
        <v>0</v>
      </c>
      <c r="K6" s="8">
        <f>IF(Данные!K87&gt;($E$6-0.5*VLOOKUP(K$1,Рейтинг!$B$7:$C$12,COLUMN(Рейтинг!$C:$C)-COLUMN(Рейтинг!$B:$B)+1,FALSE)),1,0)</f>
        <v>0</v>
      </c>
    </row>
    <row r="7" spans="1:11" ht="15.75">
      <c r="A7" s="4"/>
      <c r="B7" s="36" t="s">
        <v>57</v>
      </c>
      <c r="C7" s="6"/>
      <c r="D7" s="4"/>
      <c r="E7" s="4"/>
      <c r="F7" s="4">
        <f aca="true" t="shared" si="0" ref="F7:K7">SUM(F2:F6)</f>
        <v>0</v>
      </c>
      <c r="G7" s="4">
        <f t="shared" si="0"/>
        <v>0</v>
      </c>
      <c r="H7" s="4">
        <f t="shared" si="0"/>
        <v>1</v>
      </c>
      <c r="I7" s="4">
        <f t="shared" si="0"/>
        <v>1</v>
      </c>
      <c r="J7" s="4">
        <f t="shared" si="0"/>
        <v>0</v>
      </c>
      <c r="K7" s="4">
        <f t="shared" si="0"/>
        <v>1</v>
      </c>
    </row>
  </sheetData>
  <sheetProtection/>
  <printOptions/>
  <pageMargins left="0" right="0" top="0.51" bottom="0" header="0" footer="0"/>
  <pageSetup fitToWidth="3" fitToHeight="1" horizontalDpi="600" verticalDpi="600" orientation="landscape" paperSize="9" scale="62" r:id="rId1"/>
  <headerFooter>
    <oddHeader>&amp;C&amp;"Times New Roman,обычный"&amp;14
Индикаторы соблюдения бюджетного законодательства при осуществлении бюджетного процесса в муниципальных образованиях Ханты-Мансийского автономного округа – Югры 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/>
  <dimension ref="A2:N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N2"/>
    </sheetView>
  </sheetViews>
  <sheetFormatPr defaultColWidth="9.140625" defaultRowHeight="15"/>
  <cols>
    <col min="1" max="1" width="6.00390625" style="33" customWidth="1"/>
    <col min="2" max="2" width="56.57421875" style="20" customWidth="1"/>
    <col min="3" max="3" width="20.28125" style="34" customWidth="1"/>
    <col min="4" max="4" width="9.00390625" style="34" customWidth="1"/>
    <col min="5" max="5" width="19.28125" style="52" customWidth="1"/>
    <col min="6" max="6" width="19.28125" style="31" hidden="1" customWidth="1"/>
    <col min="7" max="7" width="17.8515625" style="31" hidden="1" customWidth="1"/>
    <col min="8" max="8" width="19.28125" style="31" hidden="1" customWidth="1"/>
    <col min="9" max="9" width="15.28125" style="20" bestFit="1" customWidth="1"/>
    <col min="10" max="10" width="7.8515625" style="20" bestFit="1" customWidth="1"/>
    <col min="11" max="11" width="17.28125" style="20" bestFit="1" customWidth="1"/>
    <col min="12" max="12" width="15.57421875" style="20" customWidth="1"/>
    <col min="13" max="13" width="19.28125" style="20" customWidth="1"/>
    <col min="14" max="14" width="17.8515625" style="20" customWidth="1"/>
    <col min="15" max="16384" width="9.140625" style="20" customWidth="1"/>
  </cols>
  <sheetData>
    <row r="2" spans="3:14" ht="18.75">
      <c r="C2" s="205" t="s">
        <v>234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4" spans="1:14" ht="116.25" customHeight="1">
      <c r="A4" s="15" t="s">
        <v>0</v>
      </c>
      <c r="B4" s="15" t="s">
        <v>7</v>
      </c>
      <c r="C4" s="15" t="s">
        <v>59</v>
      </c>
      <c r="D4" s="15" t="s">
        <v>65</v>
      </c>
      <c r="E4" s="49" t="s">
        <v>60</v>
      </c>
      <c r="F4" s="19"/>
      <c r="G4" s="19"/>
      <c r="H4" s="19"/>
      <c r="I4" s="15" t="s">
        <v>182</v>
      </c>
      <c r="J4" s="15" t="s">
        <v>183</v>
      </c>
      <c r="K4" s="15" t="s">
        <v>184</v>
      </c>
      <c r="L4" s="15" t="s">
        <v>185</v>
      </c>
      <c r="M4" s="15" t="s">
        <v>186</v>
      </c>
      <c r="N4" s="15" t="s">
        <v>187</v>
      </c>
    </row>
    <row r="5" spans="1:14" ht="15">
      <c r="A5" s="15"/>
      <c r="B5" s="15" t="s">
        <v>28</v>
      </c>
      <c r="C5" s="15"/>
      <c r="D5" s="15"/>
      <c r="E5" s="49"/>
      <c r="F5" s="19"/>
      <c r="G5" s="19"/>
      <c r="H5" s="19"/>
      <c r="I5" s="21">
        <f aca="true" t="shared" si="0" ref="I5:N5">SUM($D$6*I6+$D$13*I13+$D$24*I24+$D$28*I28+$D$36*I36)</f>
        <v>32.25</v>
      </c>
      <c r="J5" s="21">
        <f t="shared" si="0"/>
        <v>37.993513597238874</v>
      </c>
      <c r="K5" s="21">
        <f t="shared" si="0"/>
        <v>33.373035589893746</v>
      </c>
      <c r="L5" s="21">
        <f t="shared" si="0"/>
        <v>30.75921341531525</v>
      </c>
      <c r="M5" s="21">
        <f t="shared" si="0"/>
        <v>34.3984332238169</v>
      </c>
      <c r="N5" s="21">
        <f t="shared" si="0"/>
        <v>33.40337413677757</v>
      </c>
    </row>
    <row r="6" spans="1:14" s="26" customFormat="1" ht="15">
      <c r="A6" s="22"/>
      <c r="B6" s="23" t="s">
        <v>11</v>
      </c>
      <c r="C6" s="24"/>
      <c r="D6" s="24">
        <v>2.5</v>
      </c>
      <c r="E6" s="50"/>
      <c r="F6" s="25"/>
      <c r="G6" s="25"/>
      <c r="H6" s="25"/>
      <c r="I6" s="55">
        <f aca="true" t="shared" si="1" ref="I6:N6">SUMPRODUCT($E$7:$E$12,$D$7:$D$12,I7:I12)</f>
        <v>8</v>
      </c>
      <c r="J6" s="55">
        <f t="shared" si="1"/>
        <v>7.082324554647572</v>
      </c>
      <c r="K6" s="55">
        <f t="shared" si="1"/>
        <v>7.872345594970408</v>
      </c>
      <c r="L6" s="55">
        <f t="shared" si="1"/>
        <v>6</v>
      </c>
      <c r="M6" s="55">
        <f t="shared" si="1"/>
        <v>5.957094703842527</v>
      </c>
      <c r="N6" s="55">
        <f t="shared" si="1"/>
        <v>5.765766182034086</v>
      </c>
    </row>
    <row r="7" spans="1:14" s="31" customFormat="1" ht="30">
      <c r="A7" s="27" t="str">
        <f>Индикаторы!A8</f>
        <v>1.1</v>
      </c>
      <c r="B7" s="28" t="str">
        <f>Индикаторы!B8</f>
        <v>Утверждение бюджета на очередной финансовый год и плановый период</v>
      </c>
      <c r="C7" s="29">
        <v>1</v>
      </c>
      <c r="D7" s="29">
        <v>2</v>
      </c>
      <c r="E7" s="71">
        <v>1</v>
      </c>
      <c r="F7" s="29"/>
      <c r="G7" s="29"/>
      <c r="H7" s="29"/>
      <c r="I7" s="30">
        <f>IF($E7=0,0,_xlfn.IFERROR(IF($C7=1,(Индикаторы!H8-Индикаторы!$D8)/(Индикаторы!$E8-Индикаторы!$D8),(Индикаторы!$E8-Индикаторы!H8)/(Индикаторы!$E8-Индикаторы!$D8)),0))</f>
        <v>1</v>
      </c>
      <c r="J7" s="30">
        <f>IF($E7=0,0,_xlfn.IFERROR(IF($C7=1,(Индикаторы!I8-Индикаторы!$D8)/(Индикаторы!$E8-Индикаторы!$D8),(Индикаторы!$E8-Индикаторы!I8)/(Индикаторы!$E8-Индикаторы!$D8)),0))</f>
        <v>1</v>
      </c>
      <c r="K7" s="30">
        <f>IF($E7=0,0,_xlfn.IFERROR(IF($C7=1,(Индикаторы!J8-Индикаторы!$D8)/(Индикаторы!$E8-Индикаторы!$D8),(Индикаторы!$E8-Индикаторы!J8)/(Индикаторы!$E8-Индикаторы!$D8)),0))</f>
        <v>1</v>
      </c>
      <c r="L7" s="30">
        <f>IF($E7=0,0,_xlfn.IFERROR(IF($C7=1,(Индикаторы!K8-Индикаторы!$D8)/(Индикаторы!$E8-Индикаторы!$D8),(Индикаторы!$E8-Индикаторы!K8)/(Индикаторы!$E8-Индикаторы!$D8)),0))</f>
        <v>1</v>
      </c>
      <c r="M7" s="30">
        <f>IF($E7=0,0,_xlfn.IFERROR(IF($C7=1,(Индикаторы!L8-Индикаторы!$D8)/(Индикаторы!$E8-Индикаторы!$D8),(Индикаторы!$E8-Индикаторы!L8)/(Индикаторы!$E8-Индикаторы!$D8)),0))</f>
        <v>1</v>
      </c>
      <c r="N7" s="30">
        <f>IF($E7=0,0,_xlfn.IFERROR(IF($C7=1,(Индикаторы!M8-Индикаторы!$D8)/(Индикаторы!$E8-Индикаторы!$D8),(Индикаторы!$E8-Индикаторы!M8)/(Индикаторы!$E8-Индикаторы!$D8)),0))</f>
        <v>1</v>
      </c>
    </row>
    <row r="8" spans="1:14" s="31" customFormat="1" ht="15">
      <c r="A8" s="27" t="str">
        <f>Индикаторы!A9</f>
        <v>1.2</v>
      </c>
      <c r="B8" s="28" t="str">
        <f>Индикаторы!B9</f>
        <v>Своевременность принятия решения о бюджете</v>
      </c>
      <c r="C8" s="29">
        <v>1</v>
      </c>
      <c r="D8" s="29">
        <v>1.5</v>
      </c>
      <c r="E8" s="71">
        <v>1</v>
      </c>
      <c r="F8" s="29"/>
      <c r="G8" s="29"/>
      <c r="H8" s="29"/>
      <c r="I8" s="30">
        <f>IF($E8=0,0,_xlfn.IFERROR(IF($C8=1,(Индикаторы!H9-Индикаторы!$D9)/(Индикаторы!$E9-Индикаторы!$D9),(Индикаторы!$E9-Индикаторы!H9)/(Индикаторы!$E9-Индикаторы!$D9)),0))</f>
        <v>1</v>
      </c>
      <c r="J8" s="30">
        <f>IF($E8=0,0,_xlfn.IFERROR(IF($C8=1,(Индикаторы!I9-Индикаторы!$D9)/(Индикаторы!$E9-Индикаторы!$D9),(Индикаторы!$E9-Индикаторы!I9)/(Индикаторы!$E9-Индикаторы!$D9)),0))</f>
        <v>1</v>
      </c>
      <c r="K8" s="30">
        <f>IF($E8=0,0,_xlfn.IFERROR(IF($C8=1,(Индикаторы!J9-Индикаторы!$D9)/(Индикаторы!$E9-Индикаторы!$D9),(Индикаторы!$E9-Индикаторы!J9)/(Индикаторы!$E9-Индикаторы!$D9)),0))</f>
        <v>1</v>
      </c>
      <c r="L8" s="30">
        <f>IF($E8=0,0,_xlfn.IFERROR(IF($C8=1,(Индикаторы!K9-Индикаторы!$D9)/(Индикаторы!$E9-Индикаторы!$D9),(Индикаторы!$E9-Индикаторы!K9)/(Индикаторы!$E9-Индикаторы!$D9)),0))</f>
        <v>1</v>
      </c>
      <c r="M8" s="30">
        <f>IF($E8=0,0,_xlfn.IFERROR(IF($C8=1,(Индикаторы!L9-Индикаторы!$D9)/(Индикаторы!$E9-Индикаторы!$D9),(Индикаторы!$E9-Индикаторы!L9)/(Индикаторы!$E9-Индикаторы!$D9)),0))</f>
        <v>1</v>
      </c>
      <c r="N8" s="30">
        <f>IF($E8=0,0,_xlfn.IFERROR(IF($C8=1,(Индикаторы!M9-Индикаторы!$D9)/(Индикаторы!$E9-Индикаторы!$D9),(Индикаторы!$E9-Индикаторы!M9)/(Индикаторы!$E9-Индикаторы!$D9)),0))</f>
        <v>1</v>
      </c>
    </row>
    <row r="9" spans="1:14" s="31" customFormat="1" ht="58.5" customHeight="1">
      <c r="A9" s="27" t="str">
        <f>Индикаторы!A10</f>
        <v>1.3</v>
      </c>
      <c r="B9" s="28" t="str">
        <f>Индикаторы!B10</f>
        <v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v>
      </c>
      <c r="C9" s="29">
        <v>0</v>
      </c>
      <c r="D9" s="29">
        <v>2</v>
      </c>
      <c r="E9" s="71">
        <v>1</v>
      </c>
      <c r="F9" s="29"/>
      <c r="G9" s="29"/>
      <c r="H9" s="29"/>
      <c r="I9" s="30">
        <f>IF($E9=0,0,_xlfn.IFERROR(IF($C9=1,(Индикаторы!H10-Индикаторы!$D10)/(Индикаторы!$E10-Индикаторы!$D10),(Индикаторы!$E10-Индикаторы!H10)/(Индикаторы!$E10-Индикаторы!$D10)),0))</f>
        <v>0</v>
      </c>
      <c r="J9" s="30">
        <f>IF($E9=0,0,_xlfn.IFERROR(IF($C9=1,(Индикаторы!I10-Индикаторы!$D10)/(Индикаторы!$E10-Индикаторы!$D10),(Индикаторы!$E10-Индикаторы!I10)/(Индикаторы!$E10-Индикаторы!$D10)),0))</f>
        <v>0</v>
      </c>
      <c r="K9" s="30">
        <f>IF($E9=0,0,_xlfn.IFERROR(IF($C9=1,(Индикаторы!J10-Индикаторы!$D10)/(Индикаторы!$E10-Индикаторы!$D10),(Индикаторы!$E10-Индикаторы!J10)/(Индикаторы!$E10-Индикаторы!$D10)),0))</f>
        <v>0</v>
      </c>
      <c r="L9" s="30">
        <f>IF($E9=0,0,_xlfn.IFERROR(IF($C9=1,(Индикаторы!K10-Индикаторы!$D10)/(Индикаторы!$E10-Индикаторы!$D10),(Индикаторы!$E10-Индикаторы!K10)/(Индикаторы!$E10-Индикаторы!$D10)),0))</f>
        <v>0</v>
      </c>
      <c r="M9" s="30">
        <f>IF($E9=0,0,_xlfn.IFERROR(IF($C9=1,(Индикаторы!L10-Индикаторы!$D10)/(Индикаторы!$E10-Индикаторы!$D10),(Индикаторы!$E10-Индикаторы!L10)/(Индикаторы!$E10-Индикаторы!$D10)),0))</f>
        <v>0</v>
      </c>
      <c r="N9" s="30">
        <f>IF($E9=0,0,_xlfn.IFERROR(IF($C9=1,(Индикаторы!M10-Индикаторы!$D10)/(Индикаторы!$E10-Индикаторы!$D10),(Индикаторы!$E10-Индикаторы!M10)/(Индикаторы!$E10-Индикаторы!$D10)),0))</f>
        <v>0</v>
      </c>
    </row>
    <row r="10" spans="1:14" s="31" customFormat="1" ht="90">
      <c r="A10" s="27" t="str">
        <f>Индикаторы!A11</f>
        <v>1.4</v>
      </c>
      <c r="B10" s="28" t="str">
        <f>Индикаторы!B11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v>
      </c>
      <c r="C10" s="29">
        <v>1</v>
      </c>
      <c r="D10" s="29">
        <v>1</v>
      </c>
      <c r="E10" s="71">
        <v>1</v>
      </c>
      <c r="F10" s="29"/>
      <c r="G10" s="29"/>
      <c r="H10" s="29"/>
      <c r="I10" s="30">
        <f>IF($E10=0,0,_xlfn.IFERROR(IF($C10=1,(Индикаторы!H11-Индикаторы!$D11)/(Индикаторы!$E11-Индикаторы!$D11),(Индикаторы!$E11-Индикаторы!H11)/(Индикаторы!$E11-Индикаторы!$D11)),0))</f>
        <v>1</v>
      </c>
      <c r="J10" s="30">
        <f>IF($E10=0,0,_xlfn.IFERROR(IF($C10=1,(Индикаторы!I11-Индикаторы!$D11)/(Индикаторы!$E11-Индикаторы!$D11),(Индикаторы!$E11-Индикаторы!I11)/(Индикаторы!$E11-Индикаторы!$D11)),0))</f>
        <v>1</v>
      </c>
      <c r="K10" s="30">
        <f>IF($E10=0,0,_xlfn.IFERROR(IF($C10=1,(Индикаторы!J11-Индикаторы!$D11)/(Индикаторы!$E11-Индикаторы!$D11),(Индикаторы!$E11-Индикаторы!J11)/(Индикаторы!$E11-Индикаторы!$D11)),0))</f>
        <v>1</v>
      </c>
      <c r="L10" s="30">
        <f>IF($E10=0,0,_xlfn.IFERROR(IF($C10=1,(Индикаторы!K11-Индикаторы!$D11)/(Индикаторы!$E11-Индикаторы!$D11),(Индикаторы!$E11-Индикаторы!K11)/(Индикаторы!$E11-Индикаторы!$D11)),0))</f>
        <v>1</v>
      </c>
      <c r="M10" s="30">
        <f>IF($E10=0,0,_xlfn.IFERROR(IF($C10=1,(Индикаторы!L11-Индикаторы!$D11)/(Индикаторы!$E11-Индикаторы!$D11),(Индикаторы!$E11-Индикаторы!L11)/(Индикаторы!$E11-Индикаторы!$D11)),0))</f>
        <v>0</v>
      </c>
      <c r="N10" s="30">
        <f>IF($E10=0,0,_xlfn.IFERROR(IF($C10=1,(Индикаторы!M11-Индикаторы!$D11)/(Индикаторы!$E11-Индикаторы!$D11),(Индикаторы!$E11-Индикаторы!M11)/(Индикаторы!$E11-Индикаторы!$D11)),0))</f>
        <v>0</v>
      </c>
    </row>
    <row r="11" spans="1:14" s="31" customFormat="1" ht="120">
      <c r="A11" s="27" t="str">
        <f>Индикаторы!A12</f>
        <v>1.5</v>
      </c>
      <c r="B11" s="28" t="str">
        <f>Индикаторы!B12</f>
        <v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v>
      </c>
      <c r="C11" s="29">
        <v>1</v>
      </c>
      <c r="D11" s="29">
        <v>2</v>
      </c>
      <c r="E11" s="71">
        <v>1</v>
      </c>
      <c r="F11" s="32"/>
      <c r="G11" s="29"/>
      <c r="H11" s="29"/>
      <c r="I11" s="30">
        <f>IF($E11=0,0,_xlfn.IFERROR(IF($C11=1,(Индикаторы!H12-Индикаторы!$D12)/(Индикаторы!$E12-Индикаторы!$D12),(Индикаторы!$E12-Индикаторы!H12)/(Индикаторы!$E12-Индикаторы!$D12)),0))</f>
        <v>1</v>
      </c>
      <c r="J11" s="30">
        <f>IF($E11=0,0,_xlfn.IFERROR(IF($C11=1,(Индикаторы!I12-Индикаторы!$D12)/(Индикаторы!$E12-Индикаторы!$D12),(Индикаторы!$E12-Индикаторы!I12)/(Индикаторы!$E12-Индикаторы!$D12)),0))</f>
        <v>0.5411622773237862</v>
      </c>
      <c r="K11" s="30">
        <f>IF($E11=0,0,_xlfn.IFERROR(IF($C11=1,(Индикаторы!J12-Индикаторы!$D12)/(Индикаторы!$E12-Индикаторы!$D12),(Индикаторы!$E12-Индикаторы!J12)/(Индикаторы!$E12-Индикаторы!$D12)),0))</f>
        <v>0.936172797485204</v>
      </c>
      <c r="L11" s="30">
        <f>IF($E11=0,0,_xlfn.IFERROR(IF($C11=1,(Индикаторы!K12-Индикаторы!$D12)/(Индикаторы!$E12-Индикаторы!$D12),(Индикаторы!$E12-Индикаторы!K12)/(Индикаторы!$E12-Индикаторы!$D12)),0))</f>
        <v>0</v>
      </c>
      <c r="M11" s="30">
        <f>IF($E11=0,0,_xlfn.IFERROR(IF($C11=1,(Индикаторы!L12-Индикаторы!$D12)/(Индикаторы!$E12-Индикаторы!$D12),(Индикаторы!$E12-Индикаторы!L12)/(Индикаторы!$E12-Индикаторы!$D12)),0))</f>
        <v>0.47854735192126374</v>
      </c>
      <c r="N11" s="30">
        <f>IF($E11=0,0,_xlfn.IFERROR(IF($C11=1,(Индикаторы!M12-Индикаторы!$D12)/(Индикаторы!$E12-Индикаторы!$D12),(Индикаторы!$E12-Индикаторы!M12)/(Индикаторы!$E12-Индикаторы!$D12)),0))</f>
        <v>0.38288309101704293</v>
      </c>
    </row>
    <row r="12" spans="1:14" s="31" customFormat="1" ht="105">
      <c r="A12" s="27" t="str">
        <f>Индикаторы!A13</f>
        <v>1.6</v>
      </c>
      <c r="B12" s="28" t="str">
        <f>Индикаторы!B13</f>
        <v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v>
      </c>
      <c r="C12" s="29">
        <v>1</v>
      </c>
      <c r="D12" s="29">
        <v>1.5</v>
      </c>
      <c r="E12" s="71">
        <v>1</v>
      </c>
      <c r="F12" s="32"/>
      <c r="G12" s="32"/>
      <c r="H12" s="32"/>
      <c r="I12" s="30">
        <f>IF($E12=0,0,_xlfn.IFERROR(IF($C12=1,(Индикаторы!H13-Индикаторы!$D13)/(Индикаторы!$E13-Индикаторы!$D13),(Индикаторы!$E13-Индикаторы!H13)/(Индикаторы!$E13-Индикаторы!$D13)),0))</f>
        <v>1</v>
      </c>
      <c r="J12" s="30">
        <f>IF($E12=0,0,_xlfn.IFERROR(IF($C12=1,(Индикаторы!I13-Индикаторы!$D13)/(Индикаторы!$E13-Индикаторы!$D13),(Индикаторы!$E13-Индикаторы!I13)/(Индикаторы!$E13-Индикаторы!$D13)),0))</f>
        <v>1</v>
      </c>
      <c r="K12" s="30">
        <f>IF($E12=0,0,_xlfn.IFERROR(IF($C12=1,(Индикаторы!J13-Индикаторы!$D13)/(Индикаторы!$E13-Индикаторы!$D13),(Индикаторы!$E13-Индикаторы!J13)/(Индикаторы!$E13-Индикаторы!$D13)),0))</f>
        <v>1</v>
      </c>
      <c r="L12" s="30">
        <f>IF($E12=0,0,_xlfn.IFERROR(IF($C12=1,(Индикаторы!K13-Индикаторы!$D13)/(Индикаторы!$E13-Индикаторы!$D13),(Индикаторы!$E13-Индикаторы!K13)/(Индикаторы!$E13-Индикаторы!$D13)),0))</f>
        <v>1</v>
      </c>
      <c r="M12" s="30">
        <f>IF($E12=0,0,_xlfn.IFERROR(IF($C12=1,(Индикаторы!L13-Индикаторы!$D13)/(Индикаторы!$E13-Индикаторы!$D13),(Индикаторы!$E13-Индикаторы!L13)/(Индикаторы!$E13-Индикаторы!$D13)),0))</f>
        <v>1</v>
      </c>
      <c r="N12" s="30">
        <f>IF($E12=0,0,_xlfn.IFERROR(IF($C12=1,(Индикаторы!M13-Индикаторы!$D13)/(Индикаторы!$E13-Индикаторы!$D13),(Индикаторы!$E13-Индикаторы!M13)/(Индикаторы!$E13-Индикаторы!$D13)),0))</f>
        <v>1</v>
      </c>
    </row>
    <row r="13" spans="1:14" s="26" customFormat="1" ht="15">
      <c r="A13" s="22"/>
      <c r="B13" s="38" t="s">
        <v>13</v>
      </c>
      <c r="C13" s="39"/>
      <c r="D13" s="54">
        <v>2.5</v>
      </c>
      <c r="E13" s="51"/>
      <c r="F13" s="40"/>
      <c r="G13" s="41"/>
      <c r="H13" s="41"/>
      <c r="I13" s="55">
        <f aca="true" t="shared" si="2" ref="I13:N13">SUMPRODUCT($E$14:$E$23,$D$14:$D$23,I14:I23)</f>
        <v>0.5</v>
      </c>
      <c r="J13" s="55">
        <f t="shared" si="2"/>
        <v>2.7150808842479774</v>
      </c>
      <c r="K13" s="55">
        <f t="shared" si="2"/>
        <v>1.875632980536739</v>
      </c>
      <c r="L13" s="55">
        <f t="shared" si="2"/>
        <v>2.626622190889398</v>
      </c>
      <c r="M13" s="55">
        <f t="shared" si="2"/>
        <v>3.0559394866054443</v>
      </c>
      <c r="N13" s="55">
        <f t="shared" si="2"/>
        <v>3.0699694502185704</v>
      </c>
    </row>
    <row r="14" spans="1:14" s="31" customFormat="1" ht="30">
      <c r="A14" s="27" t="str">
        <f>Индикаторы!A15</f>
        <v>2.1</v>
      </c>
      <c r="B14" s="28" t="str">
        <f>Индикаторы!B15</f>
        <v>Количество изменений, внесенных в решение о бюджете муниципального образования</v>
      </c>
      <c r="C14" s="29">
        <v>0</v>
      </c>
      <c r="D14" s="29">
        <v>0.75</v>
      </c>
      <c r="E14" s="71">
        <v>1</v>
      </c>
      <c r="F14" s="32"/>
      <c r="G14" s="32"/>
      <c r="H14" s="32"/>
      <c r="I14" s="30">
        <f>IF($E14=0,0,_xlfn.IFERROR(IF($C14=1,(Индикаторы!H15-Индикаторы!$D15)/(Индикаторы!$E15-Индикаторы!$D15),(Индикаторы!$E15-Индикаторы!H15)/(Индикаторы!$E15-Индикаторы!$D15)),0))</f>
        <v>0.6666666666666666</v>
      </c>
      <c r="J14" s="30">
        <f>IF($E14=0,0,_xlfn.IFERROR(IF($C14=1,(Индикаторы!I15-Индикаторы!$D15)/(Индикаторы!$E15-Индикаторы!$D15),(Индикаторы!$E15-Индикаторы!I15)/(Индикаторы!$E15-Индикаторы!$D15)),0))</f>
        <v>0.3333333333333333</v>
      </c>
      <c r="K14" s="30">
        <f>IF($E14=0,0,_xlfn.IFERROR(IF($C14=1,(Индикаторы!J15-Индикаторы!$D15)/(Индикаторы!$E15-Индикаторы!$D15),(Индикаторы!$E15-Индикаторы!J15)/(Индикаторы!$E15-Индикаторы!$D15)),0))</f>
        <v>0</v>
      </c>
      <c r="L14" s="30">
        <f>IF($E14=0,0,_xlfn.IFERROR(IF($C14=1,(Индикаторы!K15-Индикаторы!$D15)/(Индикаторы!$E15-Индикаторы!$D15),(Индикаторы!$E15-Индикаторы!K15)/(Индикаторы!$E15-Индикаторы!$D15)),0))</f>
        <v>0.6666666666666666</v>
      </c>
      <c r="M14" s="30">
        <f>IF($E14=0,0,_xlfn.IFERROR(IF($C14=1,(Индикаторы!L15-Индикаторы!$D15)/(Индикаторы!$E15-Индикаторы!$D15),(Индикаторы!$E15-Индикаторы!L15)/(Индикаторы!$E15-Индикаторы!$D15)),0))</f>
        <v>1</v>
      </c>
      <c r="N14" s="30">
        <f>IF($E14=0,0,_xlfn.IFERROR(IF($C14=1,(Индикаторы!M15-Индикаторы!$D15)/(Индикаторы!$E15-Индикаторы!$D15),(Индикаторы!$E15-Индикаторы!M15)/(Индикаторы!$E15-Индикаторы!$D15)),0))</f>
        <v>0.6666666666666666</v>
      </c>
    </row>
    <row r="15" spans="1:14" s="31" customFormat="1" ht="60">
      <c r="A15" s="27" t="str">
        <f>Индикаторы!A16</f>
        <v>2.2</v>
      </c>
      <c r="B15" s="28" t="str">
        <f>Индикаторы!B16</f>
        <v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v>
      </c>
      <c r="C15" s="29">
        <v>1</v>
      </c>
      <c r="D15" s="29">
        <v>1.75</v>
      </c>
      <c r="E15" s="71">
        <v>1</v>
      </c>
      <c r="F15" s="29"/>
      <c r="G15" s="29"/>
      <c r="H15" s="29"/>
      <c r="I15" s="30">
        <f>IF($E15=0,0,_xlfn.IFERROR(IF($C15=1,(Индикаторы!H16-Индикаторы!$D16)/(Индикаторы!$E16-Индикаторы!$D16),(Индикаторы!$E16-Индикаторы!H16)/(Индикаторы!$E16-Индикаторы!$D16)),0))</f>
        <v>0</v>
      </c>
      <c r="J15" s="30">
        <f>IF($E15=0,0,_xlfn.IFERROR(IF($C15=1,(Индикаторы!I16-Индикаторы!$D16)/(Индикаторы!$E16-Индикаторы!$D16),(Индикаторы!$E16-Индикаторы!I16)/(Индикаторы!$E16-Индикаторы!$D16)),0))</f>
        <v>0</v>
      </c>
      <c r="K15" s="30">
        <f>IF($E15=0,0,_xlfn.IFERROR(IF($C15=1,(Индикаторы!J16-Индикаторы!$D16)/(Индикаторы!$E16-Индикаторы!$D16),(Индикаторы!$E16-Индикаторы!J16)/(Индикаторы!$E16-Индикаторы!$D16)),0))</f>
        <v>0</v>
      </c>
      <c r="L15" s="30">
        <f>IF($E15=0,0,_xlfn.IFERROR(IF($C15=1,(Индикаторы!K16-Индикаторы!$D16)/(Индикаторы!$E16-Индикаторы!$D16),(Индикаторы!$E16-Индикаторы!K16)/(Индикаторы!$E16-Индикаторы!$D16)),0))</f>
        <v>0</v>
      </c>
      <c r="M15" s="30">
        <f>IF($E15=0,0,_xlfn.IFERROR(IF($C15=1,(Индикаторы!L16-Индикаторы!$D16)/(Индикаторы!$E16-Индикаторы!$D16),(Индикаторы!$E16-Индикаторы!L16)/(Индикаторы!$E16-Индикаторы!$D16)),0))</f>
        <v>0</v>
      </c>
      <c r="N15" s="30">
        <f>IF($E15=0,0,_xlfn.IFERROR(IF($C15=1,(Индикаторы!M16-Индикаторы!$D16)/(Индикаторы!$E16-Индикаторы!$D16),(Индикаторы!$E16-Индикаторы!M16)/(Индикаторы!$E16-Индикаторы!$D16)),0))</f>
        <v>0</v>
      </c>
    </row>
    <row r="16" spans="1:14" s="31" customFormat="1" ht="45">
      <c r="A16" s="27" t="str">
        <f>Индикаторы!A17</f>
        <v>2.3</v>
      </c>
      <c r="B16" s="28" t="str">
        <f>Индикаторы!B17</f>
        <v>Темп роста поступлений неналоговых доходов бюджета муниципального образования к соответствующему периоду прошлого года</v>
      </c>
      <c r="C16" s="29">
        <v>1</v>
      </c>
      <c r="D16" s="29">
        <v>1.75</v>
      </c>
      <c r="E16" s="71">
        <v>1</v>
      </c>
      <c r="F16" s="29"/>
      <c r="G16" s="29"/>
      <c r="H16" s="29"/>
      <c r="I16" s="30">
        <f>IF($E16=0,0,_xlfn.IFERROR(IF($C16=1,(Индикаторы!H17-Индикаторы!$D17)/(Индикаторы!$E17-Индикаторы!$D17),(Индикаторы!$E17-Индикаторы!H17)/(Индикаторы!$E17-Индикаторы!$D17)),0))</f>
        <v>0</v>
      </c>
      <c r="J16" s="30">
        <f>IF($E16=0,0,_xlfn.IFERROR(IF($C16=1,(Индикаторы!I17-Индикаторы!$D17)/(Индикаторы!$E17-Индикаторы!$D17),(Индикаторы!$E17-Индикаторы!I17)/(Индикаторы!$E17-Индикаторы!$D17)),0))</f>
        <v>0</v>
      </c>
      <c r="K16" s="30">
        <f>IF($E16=0,0,_xlfn.IFERROR(IF($C16=1,(Индикаторы!J17-Индикаторы!$D17)/(Индикаторы!$E17-Индикаторы!$D17),(Индикаторы!$E17-Индикаторы!J17)/(Индикаторы!$E17-Индикаторы!$D17)),0))</f>
        <v>0</v>
      </c>
      <c r="L16" s="30">
        <f>IF($E16=0,0,_xlfn.IFERROR(IF($C16=1,(Индикаторы!K17-Индикаторы!$D17)/(Индикаторы!$E17-Индикаторы!$D17),(Индикаторы!$E17-Индикаторы!K17)/(Индикаторы!$E17-Индикаторы!$D17)),0))</f>
        <v>0</v>
      </c>
      <c r="M16" s="30">
        <f>IF($E16=0,0,_xlfn.IFERROR(IF($C16=1,(Индикаторы!L17-Индикаторы!$D17)/(Индикаторы!$E17-Индикаторы!$D17),(Индикаторы!$E17-Индикаторы!L17)/(Индикаторы!$E17-Индикаторы!$D17)),0))</f>
        <v>0</v>
      </c>
      <c r="N16" s="30">
        <f>IF($E16=0,0,_xlfn.IFERROR(IF($C16=1,(Индикаторы!M17-Индикаторы!$D17)/(Индикаторы!$E17-Индикаторы!$D17),(Индикаторы!$E17-Индикаторы!M17)/(Индикаторы!$E17-Индикаторы!$D17)),0))</f>
        <v>0</v>
      </c>
    </row>
    <row r="17" spans="1:14" s="31" customFormat="1" ht="45">
      <c r="A17" s="27" t="str">
        <f>Индикаторы!A18</f>
        <v>2.4</v>
      </c>
      <c r="B17" s="28" t="str">
        <f>Индикаторы!B18</f>
        <v>Отношение сумм финансовых нарушений, выявленных по актам ревизии, к расходам бюджета муниципального образования</v>
      </c>
      <c r="C17" s="29">
        <v>0</v>
      </c>
      <c r="D17" s="29">
        <v>0.75</v>
      </c>
      <c r="E17" s="71">
        <v>1</v>
      </c>
      <c r="F17" s="29"/>
      <c r="G17" s="29"/>
      <c r="H17" s="29"/>
      <c r="I17" s="30">
        <f>IF($E17=0,0,_xlfn.IFERROR(IF($C17=1,(Индикаторы!H18-Индикаторы!$D18)/(Индикаторы!$E18-Индикаторы!$D18),(Индикаторы!$E18-Индикаторы!H18)/(Индикаторы!$E18-Индикаторы!$D18)),0))</f>
        <v>0</v>
      </c>
      <c r="J17" s="30">
        <f>IF($E17=0,0,_xlfn.IFERROR(IF($C17=1,(Индикаторы!I18-Индикаторы!$D18)/(Индикаторы!$E18-Индикаторы!$D18),(Индикаторы!$E18-Индикаторы!I18)/(Индикаторы!$E18-Индикаторы!$D18)),0))</f>
        <v>1</v>
      </c>
      <c r="K17" s="30">
        <f>IF($E17=0,0,_xlfn.IFERROR(IF($C17=1,(Индикаторы!J18-Индикаторы!$D18)/(Индикаторы!$E18-Индикаторы!$D18),(Индикаторы!$E18-Индикаторы!J18)/(Индикаторы!$E18-Индикаторы!$D18)),0))</f>
        <v>1</v>
      </c>
      <c r="L17" s="30">
        <f>IF($E17=0,0,_xlfn.IFERROR(IF($C17=1,(Индикаторы!K18-Индикаторы!$D18)/(Индикаторы!$E18-Индикаторы!$D18),(Индикаторы!$E18-Индикаторы!K18)/(Индикаторы!$E18-Индикаторы!$D18)),0))</f>
        <v>1</v>
      </c>
      <c r="M17" s="30">
        <f>IF($E17=0,0,_xlfn.IFERROR(IF($C17=1,(Индикаторы!L18-Индикаторы!$D18)/(Индикаторы!$E18-Индикаторы!$D18),(Индикаторы!$E18-Индикаторы!L18)/(Индикаторы!$E18-Индикаторы!$D18)),0))</f>
        <v>1</v>
      </c>
      <c r="N17" s="30">
        <f>IF($E17=0,0,_xlfn.IFERROR(IF($C17=1,(Индикаторы!M18-Индикаторы!$D18)/(Индикаторы!$E18-Индикаторы!$D18),(Индикаторы!$E18-Индикаторы!M18)/(Индикаторы!$E18-Индикаторы!$D18)),0))</f>
        <v>1</v>
      </c>
    </row>
    <row r="18" spans="1:14" s="31" customFormat="1" ht="90">
      <c r="A18" s="27" t="str">
        <f>Индикаторы!A19</f>
        <v>2.5</v>
      </c>
      <c r="B18" s="28" t="str">
        <f>Индикаторы!B19</f>
        <v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29">
        <v>0</v>
      </c>
      <c r="D18" s="29">
        <v>1</v>
      </c>
      <c r="E18" s="71">
        <v>1</v>
      </c>
      <c r="F18" s="29"/>
      <c r="G18" s="29"/>
      <c r="H18" s="29"/>
      <c r="I18" s="30">
        <f>IF($E18=0,0,_xlfn.IFERROR(IF($C18=1,(Индикаторы!H19-Индикаторы!$D19)/(Индикаторы!$E19-Индикаторы!$D19),(Индикаторы!$E19-Индикаторы!H19)/(Индикаторы!$E19-Индикаторы!$D19)),0))</f>
        <v>0</v>
      </c>
      <c r="J18" s="30">
        <f>IF($E18=0,0,_xlfn.IFERROR(IF($C18=1,(Индикаторы!I19-Индикаторы!$D19)/(Индикаторы!$E19-Индикаторы!$D19),(Индикаторы!$E19-Индикаторы!I19)/(Индикаторы!$E19-Индикаторы!$D19)),0))</f>
        <v>1</v>
      </c>
      <c r="K18" s="30">
        <f>IF($E18=0,0,_xlfn.IFERROR(IF($C18=1,(Индикаторы!J19-Индикаторы!$D19)/(Индикаторы!$E19-Индикаторы!$D19),(Индикаторы!$E19-Индикаторы!J19)/(Индикаторы!$E19-Индикаторы!$D19)),0))</f>
        <v>0.12563298053673908</v>
      </c>
      <c r="L18" s="30">
        <f>IF($E18=0,0,_xlfn.IFERROR(IF($C18=1,(Индикаторы!K19-Индикаторы!$D19)/(Индикаторы!$E19-Индикаторы!$D19),(Индикаторы!$E19-Индикаторы!K19)/(Индикаторы!$E19-Индикаторы!$D19)),0))</f>
        <v>0.6996756107834743</v>
      </c>
      <c r="M18" s="30">
        <f>IF($E18=0,0,_xlfn.IFERROR(IF($C18=1,(Индикаторы!L19-Индикаторы!$D19)/(Индикаторы!$E19-Индикаторы!$D19),(Индикаторы!$E19-Индикаторы!L19)/(Индикаторы!$E19-Индикаторы!$D19)),0))</f>
        <v>0.5559394866054442</v>
      </c>
      <c r="N18" s="30">
        <f>IF($E18=0,0,_xlfn.IFERROR(IF($C18=1,(Индикаторы!M19-Индикаторы!$D19)/(Индикаторы!$E19-Индикаторы!$D19),(Индикаторы!$E19-Индикаторы!M19)/(Индикаторы!$E19-Индикаторы!$D19)),0))</f>
        <v>0.8199694502185702</v>
      </c>
    </row>
    <row r="19" spans="1:14" s="31" customFormat="1" ht="105">
      <c r="A19" s="27" t="str">
        <f>Индикаторы!A20</f>
        <v>2.6</v>
      </c>
      <c r="B19" s="28" t="str">
        <f>Индикаторы!B20</f>
        <v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v>
      </c>
      <c r="C19" s="29">
        <v>0</v>
      </c>
      <c r="D19" s="29">
        <v>1</v>
      </c>
      <c r="E19" s="71">
        <v>1</v>
      </c>
      <c r="F19" s="29"/>
      <c r="G19" s="29"/>
      <c r="H19" s="29"/>
      <c r="I19" s="30">
        <f>IF($E19=0,0,_xlfn.IFERROR(IF($C19=1,(Индикаторы!H20-Индикаторы!$D20)/(Индикаторы!$E20-Индикаторы!$D20),(Индикаторы!$E20-Индикаторы!H20)/(Индикаторы!$E20-Индикаторы!$D20)),0))</f>
        <v>0</v>
      </c>
      <c r="J19" s="30">
        <f>IF($E19=0,0,_xlfn.IFERROR(IF($C19=1,(Индикаторы!I20-Индикаторы!$D20)/(Индикаторы!$E20-Индикаторы!$D20),(Индикаторы!$E20-Индикаторы!I20)/(Индикаторы!$E20-Индикаторы!$D20)),0))</f>
        <v>0.7150808842479774</v>
      </c>
      <c r="K19" s="30">
        <f>IF($E19=0,0,_xlfn.IFERROR(IF($C19=1,(Индикаторы!J20-Индикаторы!$D20)/(Индикаторы!$E20-Индикаторы!$D20),(Индикаторы!$E20-Индикаторы!J20)/(Индикаторы!$E20-Индикаторы!$D20)),0))</f>
        <v>1</v>
      </c>
      <c r="L19" s="30">
        <f>IF($E19=0,0,_xlfn.IFERROR(IF($C19=1,(Индикаторы!K20-Индикаторы!$D20)/(Индикаторы!$E20-Индикаторы!$D20),(Индикаторы!$E20-Индикаторы!K20)/(Индикаторы!$E20-Индикаторы!$D20)),0))</f>
        <v>0.6769465801059233</v>
      </c>
      <c r="M19" s="30">
        <f>IF($E19=0,0,_xlfn.IFERROR(IF($C19=1,(Индикаторы!L20-Индикаторы!$D20)/(Индикаторы!$E20-Индикаторы!$D20),(Индикаторы!$E20-Индикаторы!L20)/(Индикаторы!$E20-Индикаторы!$D20)),0))</f>
        <v>1</v>
      </c>
      <c r="N19" s="30">
        <f>IF($E19=0,0,_xlfn.IFERROR(IF($C19=1,(Индикаторы!M20-Индикаторы!$D20)/(Индикаторы!$E20-Индикаторы!$D20),(Индикаторы!$E20-Индикаторы!M20)/(Индикаторы!$E20-Индикаторы!$D20)),0))</f>
        <v>1</v>
      </c>
    </row>
    <row r="20" spans="1:14" s="31" customFormat="1" ht="60">
      <c r="A20" s="27" t="str">
        <f>Индикаторы!A21</f>
        <v>2.7</v>
      </c>
      <c r="B20" s="28" t="str">
        <f>Индикаторы!B21</f>
        <v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v>
      </c>
      <c r="C20" s="29">
        <v>0</v>
      </c>
      <c r="D20" s="29">
        <v>1</v>
      </c>
      <c r="E20" s="71">
        <v>1</v>
      </c>
      <c r="F20" s="29"/>
      <c r="G20" s="29"/>
      <c r="H20" s="29"/>
      <c r="I20" s="30">
        <f>IF($E20=0,0,_xlfn.IFERROR(IF($C20=1,(Индикаторы!H21-Индикаторы!$D21)/(Индикаторы!$E21-Индикаторы!$D21),(Индикаторы!$E21-Индикаторы!H21)/(Индикаторы!$E21-Индикаторы!$D21)),0))</f>
        <v>0</v>
      </c>
      <c r="J20" s="30">
        <f>IF($E20=0,0,_xlfn.IFERROR(IF($C20=1,(Индикаторы!I21-Индикаторы!$D21)/(Индикаторы!$E21-Индикаторы!$D21),(Индикаторы!$E21-Индикаторы!I21)/(Индикаторы!$E21-Индикаторы!$D21)),0))</f>
        <v>0</v>
      </c>
      <c r="K20" s="30">
        <f>IF($E20=0,0,_xlfn.IFERROR(IF($C20=1,(Индикаторы!J21-Индикаторы!$D21)/(Индикаторы!$E21-Индикаторы!$D21),(Индикаторы!$E21-Индикаторы!J21)/(Индикаторы!$E21-Индикаторы!$D21)),0))</f>
        <v>0</v>
      </c>
      <c r="L20" s="30">
        <f>IF($E20=0,0,_xlfn.IFERROR(IF($C20=1,(Индикаторы!K21-Индикаторы!$D21)/(Индикаторы!$E21-Индикаторы!$D21),(Индикаторы!$E21-Индикаторы!K21)/(Индикаторы!$E21-Индикаторы!$D21)),0))</f>
        <v>0</v>
      </c>
      <c r="M20" s="30">
        <f>IF($E20=0,0,_xlfn.IFERROR(IF($C20=1,(Индикаторы!L21-Индикаторы!$D21)/(Индикаторы!$E21-Индикаторы!$D21),(Индикаторы!$E21-Индикаторы!L21)/(Индикаторы!$E21-Индикаторы!$D21)),0))</f>
        <v>0</v>
      </c>
      <c r="N20" s="30">
        <f>IF($E20=0,0,_xlfn.IFERROR(IF($C20=1,(Индикаторы!M21-Индикаторы!$D21)/(Индикаторы!$E21-Индикаторы!$D21),(Индикаторы!$E21-Индикаторы!M21)/(Индикаторы!$E21-Индикаторы!$D21)),0))</f>
        <v>0</v>
      </c>
    </row>
    <row r="21" spans="1:14" s="31" customFormat="1" ht="45">
      <c r="A21" s="27" t="str">
        <f>Индикаторы!A22</f>
        <v>2.8</v>
      </c>
      <c r="B21" s="28" t="str">
        <f>Индикаторы!B22</f>
        <v>Объем просроченной кредиторской задолженности бюджета муниципального образования по выплате заработной платы за счет средств местного бюджета</v>
      </c>
      <c r="C21" s="29">
        <v>0</v>
      </c>
      <c r="D21" s="29">
        <v>1</v>
      </c>
      <c r="E21" s="71">
        <v>1</v>
      </c>
      <c r="F21" s="29"/>
      <c r="G21" s="29"/>
      <c r="H21" s="29"/>
      <c r="I21" s="30">
        <f>IF($E21=0,0,_xlfn.IFERROR(IF($C21=1,(Индикаторы!H22-Индикаторы!$D22)/(Индикаторы!$E22-Индикаторы!$D22),(Индикаторы!$E22-Индикаторы!H22)/(Индикаторы!$E22-Индикаторы!$D22)),0))</f>
        <v>0</v>
      </c>
      <c r="J21" s="30">
        <f>IF($E21=0,0,_xlfn.IFERROR(IF($C21=1,(Индикаторы!I22-Индикаторы!$D22)/(Индикаторы!$E22-Индикаторы!$D22),(Индикаторы!$E22-Индикаторы!I22)/(Индикаторы!$E22-Индикаторы!$D22)),0))</f>
        <v>0</v>
      </c>
      <c r="K21" s="30">
        <f>IF($E21=0,0,_xlfn.IFERROR(IF($C21=1,(Индикаторы!J22-Индикаторы!$D22)/(Индикаторы!$E22-Индикаторы!$D22),(Индикаторы!$E22-Индикаторы!J22)/(Индикаторы!$E22-Индикаторы!$D22)),0))</f>
        <v>0</v>
      </c>
      <c r="L21" s="30">
        <f>IF($E21=0,0,_xlfn.IFERROR(IF($C21=1,(Индикаторы!K22-Индикаторы!$D22)/(Индикаторы!$E22-Индикаторы!$D22),(Индикаторы!$E22-Индикаторы!K22)/(Индикаторы!$E22-Индикаторы!$D22)),0))</f>
        <v>0</v>
      </c>
      <c r="M21" s="30">
        <f>IF($E21=0,0,_xlfn.IFERROR(IF($C21=1,(Индикаторы!L22-Индикаторы!$D22)/(Индикаторы!$E22-Индикаторы!$D22),(Индикаторы!$E22-Индикаторы!L22)/(Индикаторы!$E22-Индикаторы!$D22)),0))</f>
        <v>0</v>
      </c>
      <c r="N21" s="30">
        <f>IF($E21=0,0,_xlfn.IFERROR(IF($C21=1,(Индикаторы!M22-Индикаторы!$D22)/(Индикаторы!$E22-Индикаторы!$D22),(Индикаторы!$E22-Индикаторы!M22)/(Индикаторы!$E22-Индикаторы!$D22)),0))</f>
        <v>0</v>
      </c>
    </row>
    <row r="22" spans="1:14" s="31" customFormat="1" ht="75">
      <c r="A22" s="27" t="str">
        <f>Индикаторы!A23</f>
        <v>2.9</v>
      </c>
      <c r="B22" s="28" t="str">
        <f>Индикаторы!B23</f>
        <v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v>
      </c>
      <c r="C22" s="29">
        <v>1</v>
      </c>
      <c r="D22" s="29">
        <v>0.5</v>
      </c>
      <c r="E22" s="71">
        <v>1</v>
      </c>
      <c r="F22" s="29"/>
      <c r="G22" s="29"/>
      <c r="H22" s="29"/>
      <c r="I22" s="30">
        <f>IF($E22=0,0,_xlfn.IFERROR(IF($C22=1,(Индикаторы!H23-Индикаторы!$D23)/(Индикаторы!$E23-Индикаторы!$D23),(Индикаторы!$E23-Индикаторы!H23)/(Индикаторы!$E23-Индикаторы!$D23)),0))</f>
        <v>0</v>
      </c>
      <c r="J22" s="30">
        <f>IF($E22=0,0,_xlfn.IFERROR(IF($C22=1,(Индикаторы!I23-Индикаторы!$D23)/(Индикаторы!$E23-Индикаторы!$D23),(Индикаторы!$E23-Индикаторы!I23)/(Индикаторы!$E23-Индикаторы!$D23)),0))</f>
        <v>0</v>
      </c>
      <c r="K22" s="30">
        <f>IF($E22=0,0,_xlfn.IFERROR(IF($C22=1,(Индикаторы!J23-Индикаторы!$D23)/(Индикаторы!$E23-Индикаторы!$D23),(Индикаторы!$E23-Индикаторы!J23)/(Индикаторы!$E23-Индикаторы!$D23)),0))</f>
        <v>0</v>
      </c>
      <c r="L22" s="30">
        <f>IF($E22=0,0,_xlfn.IFERROR(IF($C22=1,(Индикаторы!K23-Индикаторы!$D23)/(Индикаторы!$E23-Индикаторы!$D23),(Индикаторы!$E23-Индикаторы!K23)/(Индикаторы!$E23-Индикаторы!$D23)),0))</f>
        <v>0</v>
      </c>
      <c r="M22" s="30">
        <f>IF($E22=0,0,_xlfn.IFERROR(IF($C22=1,(Индикаторы!L23-Индикаторы!$D23)/(Индикаторы!$E23-Индикаторы!$D23),(Индикаторы!$E23-Индикаторы!L23)/(Индикаторы!$E23-Индикаторы!$D23)),0))</f>
        <v>0</v>
      </c>
      <c r="N22" s="30">
        <f>IF($E22=0,0,_xlfn.IFERROR(IF($C22=1,(Индикаторы!M23-Индикаторы!$D23)/(Индикаторы!$E23-Индикаторы!$D23),(Индикаторы!$E23-Индикаторы!M23)/(Индикаторы!$E23-Индикаторы!$D23)),0))</f>
        <v>0</v>
      </c>
    </row>
    <row r="23" spans="1:14" s="31" customFormat="1" ht="60">
      <c r="A23" s="27" t="str">
        <f>Индикаторы!A24</f>
        <v>2.10</v>
      </c>
      <c r="B23" s="28" t="str">
        <f>Индикаторы!B24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29">
        <v>1</v>
      </c>
      <c r="D23" s="29">
        <v>0.5</v>
      </c>
      <c r="E23" s="71">
        <v>1</v>
      </c>
      <c r="F23" s="29"/>
      <c r="G23" s="29"/>
      <c r="H23" s="29"/>
      <c r="I23" s="30">
        <f>IF($E23=0,0,_xlfn.IFERROR(IF($C23=1,(Индикаторы!H24-Индикаторы!$D24)/(Индикаторы!$E24-Индикаторы!$D24),(Индикаторы!$E24-Индикаторы!H24)/(Индикаторы!$E24-Индикаторы!$D24)),0))</f>
        <v>0</v>
      </c>
      <c r="J23" s="30">
        <f>IF($E23=0,0,_xlfn.IFERROR(IF($C23=1,(Индикаторы!I24-Индикаторы!$D24)/(Индикаторы!$E24-Индикаторы!$D24),(Индикаторы!$E24-Индикаторы!I24)/(Индикаторы!$E24-Индикаторы!$D24)),0))</f>
        <v>0</v>
      </c>
      <c r="K23" s="30">
        <f>IF($E23=0,0,_xlfn.IFERROR(IF($C23=1,(Индикаторы!J24-Индикаторы!$D24)/(Индикаторы!$E24-Индикаторы!$D24),(Индикаторы!$E24-Индикаторы!J24)/(Индикаторы!$E24-Индикаторы!$D24)),0))</f>
        <v>0</v>
      </c>
      <c r="L23" s="30">
        <f>IF($E23=0,0,_xlfn.IFERROR(IF($C23=1,(Индикаторы!K24-Индикаторы!$D24)/(Индикаторы!$E24-Индикаторы!$D24),(Индикаторы!$E24-Индикаторы!K24)/(Индикаторы!$E24-Индикаторы!$D24)),0))</f>
        <v>0</v>
      </c>
      <c r="M23" s="30">
        <f>IF($E23=0,0,_xlfn.IFERROR(IF($C23=1,(Индикаторы!L24-Индикаторы!$D24)/(Индикаторы!$E24-Индикаторы!$D24),(Индикаторы!$E24-Индикаторы!L24)/(Индикаторы!$E24-Индикаторы!$D24)),0))</f>
        <v>0</v>
      </c>
      <c r="N23" s="30">
        <f>IF($E23=0,0,_xlfn.IFERROR(IF($C23=1,(Индикаторы!M24-Индикаторы!$D24)/(Индикаторы!$E24-Индикаторы!$D24),(Индикаторы!$E24-Индикаторы!M24)/(Индикаторы!$E24-Индикаторы!$D24)),0))</f>
        <v>0</v>
      </c>
    </row>
    <row r="24" spans="1:14" s="26" customFormat="1" ht="15">
      <c r="A24" s="22"/>
      <c r="B24" s="38" t="s">
        <v>15</v>
      </c>
      <c r="C24" s="39"/>
      <c r="D24" s="54">
        <v>2</v>
      </c>
      <c r="E24" s="51"/>
      <c r="F24" s="40"/>
      <c r="G24" s="41"/>
      <c r="H24" s="41"/>
      <c r="I24" s="55">
        <f aca="true" t="shared" si="3" ref="I24:N24">SUMPRODUCT($E$25:$E$27,$D$25:$D$27,I25:I27)</f>
        <v>0</v>
      </c>
      <c r="J24" s="55">
        <f t="shared" si="3"/>
        <v>0</v>
      </c>
      <c r="K24" s="55">
        <f t="shared" si="3"/>
        <v>0</v>
      </c>
      <c r="L24" s="55">
        <f t="shared" si="3"/>
        <v>0</v>
      </c>
      <c r="M24" s="55">
        <f t="shared" si="3"/>
        <v>0</v>
      </c>
      <c r="N24" s="55">
        <f t="shared" si="3"/>
        <v>0</v>
      </c>
    </row>
    <row r="25" spans="1:14" s="31" customFormat="1" ht="35.25" customHeight="1">
      <c r="A25" s="29" t="str">
        <f>Индикаторы!A26</f>
        <v>3.1</v>
      </c>
      <c r="B25" s="28" t="str">
        <f>Индикаторы!B26</f>
        <v>Объем просроченной задолженности по долговым обязательствам</v>
      </c>
      <c r="C25" s="29">
        <v>0</v>
      </c>
      <c r="D25" s="29">
        <v>3.5</v>
      </c>
      <c r="E25" s="71">
        <v>1</v>
      </c>
      <c r="F25" s="29"/>
      <c r="G25" s="29"/>
      <c r="H25" s="29"/>
      <c r="I25" s="30">
        <f>IF($E25=0,0,_xlfn.IFERROR(IF($C25=1,(Индикаторы!H26-Индикаторы!$D26)/(Индикаторы!$E26-Индикаторы!$D26),(Индикаторы!$E26-Индикаторы!H26)/(Индикаторы!$E26-Индикаторы!$D26)),0))</f>
        <v>0</v>
      </c>
      <c r="J25" s="30">
        <f>IF($E25=0,0,_xlfn.IFERROR(IF($C25=1,(Индикаторы!I26-Индикаторы!$D26)/(Индикаторы!$E26-Индикаторы!$D26),(Индикаторы!$E26-Индикаторы!I26)/(Индикаторы!$E26-Индикаторы!$D26)),0))</f>
        <v>0</v>
      </c>
      <c r="K25" s="30">
        <f>IF($E25=0,0,_xlfn.IFERROR(IF($C25=1,(Индикаторы!J26-Индикаторы!$D26)/(Индикаторы!$E26-Индикаторы!$D26),(Индикаторы!$E26-Индикаторы!J26)/(Индикаторы!$E26-Индикаторы!$D26)),0))</f>
        <v>0</v>
      </c>
      <c r="L25" s="30">
        <f>IF($E25=0,0,_xlfn.IFERROR(IF($C25=1,(Индикаторы!K26-Индикаторы!$D26)/(Индикаторы!$E26-Индикаторы!$D26),(Индикаторы!$E26-Индикаторы!K26)/(Индикаторы!$E26-Индикаторы!$D26)),0))</f>
        <v>0</v>
      </c>
      <c r="M25" s="30">
        <f>IF($E25=0,0,_xlfn.IFERROR(IF($C25=1,(Индикаторы!L26-Индикаторы!$D26)/(Индикаторы!$E26-Индикаторы!$D26),(Индикаторы!$E26-Индикаторы!L26)/(Индикаторы!$E26-Индикаторы!$D26)),0))</f>
        <v>0</v>
      </c>
      <c r="N25" s="30">
        <f>IF($E25=0,0,_xlfn.IFERROR(IF($C25=1,(Индикаторы!M26-Индикаторы!$D26)/(Индикаторы!$E26-Индикаторы!$D26),(Индикаторы!$E26-Индикаторы!M26)/(Индикаторы!$E26-Индикаторы!$D26)),0))</f>
        <v>0</v>
      </c>
    </row>
    <row r="26" spans="1:14" s="31" customFormat="1" ht="45">
      <c r="A26" s="29" t="str">
        <f>Индикаторы!A27</f>
        <v>3.2</v>
      </c>
      <c r="B26" s="28" t="str">
        <f>Индикаторы!B27</f>
        <v>Соотношение объема выплат по муниципальным гарантиям к общему объему представленных муниципальным образованием гарантий</v>
      </c>
      <c r="C26" s="29">
        <v>0</v>
      </c>
      <c r="D26" s="29">
        <v>3</v>
      </c>
      <c r="E26" s="71">
        <v>1</v>
      </c>
      <c r="F26" s="29"/>
      <c r="G26" s="29"/>
      <c r="H26" s="29"/>
      <c r="I26" s="30">
        <f>IF($E26=0,0,_xlfn.IFERROR(IF($C26=1,(Индикаторы!H27-Индикаторы!$D27)/(Индикаторы!$E27-Индикаторы!$D27),(Индикаторы!$E27-Индикаторы!H27)/(Индикаторы!$E27-Индикаторы!$D27)),0))</f>
        <v>0</v>
      </c>
      <c r="J26" s="30">
        <f>IF($E26=0,0,_xlfn.IFERROR(IF($C26=1,(Индикаторы!I27-Индикаторы!$D27)/(Индикаторы!$E27-Индикаторы!$D27),(Индикаторы!$E27-Индикаторы!I27)/(Индикаторы!$E27-Индикаторы!$D27)),0))</f>
        <v>0</v>
      </c>
      <c r="K26" s="30">
        <f>IF($E26=0,0,_xlfn.IFERROR(IF($C26=1,(Индикаторы!J27-Индикаторы!$D27)/(Индикаторы!$E27-Индикаторы!$D27),(Индикаторы!$E27-Индикаторы!J27)/(Индикаторы!$E27-Индикаторы!$D27)),0))</f>
        <v>0</v>
      </c>
      <c r="L26" s="30">
        <f>IF($E26=0,0,_xlfn.IFERROR(IF($C26=1,(Индикаторы!K27-Индикаторы!$D27)/(Индикаторы!$E27-Индикаторы!$D27),(Индикаторы!$E27-Индикаторы!K27)/(Индикаторы!$E27-Индикаторы!$D27)),0))</f>
        <v>0</v>
      </c>
      <c r="M26" s="30">
        <f>IF($E26=0,0,_xlfn.IFERROR(IF($C26=1,(Индикаторы!L27-Индикаторы!$D27)/(Индикаторы!$E27-Индикаторы!$D27),(Индикаторы!$E27-Индикаторы!L27)/(Индикаторы!$E27-Индикаторы!$D27)),0))</f>
        <v>0</v>
      </c>
      <c r="N26" s="30">
        <f>IF($E26=0,0,_xlfn.IFERROR(IF($C26=1,(Индикаторы!M27-Индикаторы!$D27)/(Индикаторы!$E27-Индикаторы!$D27),(Индикаторы!$E27-Индикаторы!M27)/(Индикаторы!$E27-Индикаторы!$D27)),0))</f>
        <v>0</v>
      </c>
    </row>
    <row r="27" spans="1:14" s="31" customFormat="1" ht="15">
      <c r="A27" s="29" t="str">
        <f>Индикаторы!A28</f>
        <v>3.3</v>
      </c>
      <c r="B27" s="28" t="str">
        <f>Индикаторы!B28</f>
        <v>Уровень долговой нагрузки на местный бюджет</v>
      </c>
      <c r="C27" s="29">
        <v>0</v>
      </c>
      <c r="D27" s="29">
        <v>3.5</v>
      </c>
      <c r="E27" s="71">
        <v>1</v>
      </c>
      <c r="F27" s="29"/>
      <c r="G27" s="29"/>
      <c r="H27" s="29"/>
      <c r="I27" s="30">
        <f>IF($E27=0,0,_xlfn.IFERROR(IF($C27=1,(Индикаторы!H28-Индикаторы!$D28)/(Индикаторы!$E28-Индикаторы!$D28),(Индикаторы!$E28-Индикаторы!H28)/(Индикаторы!$E28-Индикаторы!$D28)),0))</f>
        <v>0</v>
      </c>
      <c r="J27" s="30">
        <f>IF($E27=0,0,_xlfn.IFERROR(IF($C27=1,(Индикаторы!I28-Индикаторы!$D28)/(Индикаторы!$E28-Индикаторы!$D28),(Индикаторы!$E28-Индикаторы!I28)/(Индикаторы!$E28-Индикаторы!$D28)),0))</f>
        <v>0</v>
      </c>
      <c r="K27" s="30">
        <f>IF($E27=0,0,_xlfn.IFERROR(IF($C27=1,(Индикаторы!J28-Индикаторы!$D28)/(Индикаторы!$E28-Индикаторы!$D28),(Индикаторы!$E28-Индикаторы!J28)/(Индикаторы!$E28-Индикаторы!$D28)),0))</f>
        <v>0</v>
      </c>
      <c r="L27" s="30">
        <f>IF($E27=0,0,_xlfn.IFERROR(IF($C27=1,(Индикаторы!K28-Индикаторы!$D28)/(Индикаторы!$E28-Индикаторы!$D28),(Индикаторы!$E28-Индикаторы!K28)/(Индикаторы!$E28-Индикаторы!$D28)),0))</f>
        <v>0</v>
      </c>
      <c r="M27" s="30">
        <f>IF($E27=0,0,_xlfn.IFERROR(IF($C27=1,(Индикаторы!L28-Индикаторы!$D28)/(Индикаторы!$E28-Индикаторы!$D28),(Индикаторы!$E28-Индикаторы!L28)/(Индикаторы!$E28-Индикаторы!$D28)),0))</f>
        <v>0</v>
      </c>
      <c r="N27" s="30">
        <f>IF($E27=0,0,_xlfn.IFERROR(IF($C27=1,(Индикаторы!M28-Индикаторы!$D28)/(Индикаторы!$E28-Индикаторы!$D28),(Индикаторы!$E28-Индикаторы!M28)/(Индикаторы!$E28-Индикаторы!$D28)),0))</f>
        <v>0</v>
      </c>
    </row>
    <row r="28" spans="1:14" s="26" customFormat="1" ht="15">
      <c r="A28" s="22"/>
      <c r="B28" s="38" t="s">
        <v>16</v>
      </c>
      <c r="C28" s="39"/>
      <c r="D28" s="54">
        <v>2</v>
      </c>
      <c r="E28" s="51"/>
      <c r="F28" s="40"/>
      <c r="G28" s="41"/>
      <c r="H28" s="41"/>
      <c r="I28" s="55">
        <f aca="true" t="shared" si="4" ref="I28:N28">SUMPRODUCT($E$29:$E$35,$D$29:$D$35,I29:I35)</f>
        <v>3</v>
      </c>
      <c r="J28" s="55">
        <f t="shared" si="4"/>
        <v>5</v>
      </c>
      <c r="K28" s="55">
        <f t="shared" si="4"/>
        <v>2.876544575562937</v>
      </c>
      <c r="L28" s="55">
        <f t="shared" si="4"/>
        <v>3.721328969045878</v>
      </c>
      <c r="M28" s="55">
        <f t="shared" si="4"/>
        <v>3.4329238738484866</v>
      </c>
      <c r="N28" s="55">
        <f t="shared" si="4"/>
        <v>4.032017528072968</v>
      </c>
    </row>
    <row r="29" spans="1:14" s="31" customFormat="1" ht="120">
      <c r="A29" s="29" t="str">
        <f>Индикаторы!A30</f>
        <v>4.1</v>
      </c>
      <c r="B29" s="28" t="str">
        <f>Индикаторы!B30</f>
        <v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v>
      </c>
      <c r="C29" s="29">
        <v>1</v>
      </c>
      <c r="D29" s="29">
        <v>1.5</v>
      </c>
      <c r="E29" s="71">
        <v>1</v>
      </c>
      <c r="F29" s="29"/>
      <c r="G29" s="29"/>
      <c r="H29" s="29"/>
      <c r="I29" s="30">
        <f>IF($E29=0,0,_xlfn.IFERROR(IF($C29=1,(Индикаторы!H30-Индикаторы!$D30)/(Индикаторы!$E30-Индикаторы!$D30),(Индикаторы!$E30-Индикаторы!H30)/(Индикаторы!$E30-Индикаторы!$D30)),0))</f>
        <v>1</v>
      </c>
      <c r="J29" s="30">
        <f>IF($E29=0,0,_xlfn.IFERROR(IF($C29=1,(Индикаторы!I30-Индикаторы!$D30)/(Индикаторы!$E30-Индикаторы!$D30),(Индикаторы!$E30-Индикаторы!I30)/(Индикаторы!$E30-Индикаторы!$D30)),0))</f>
        <v>1</v>
      </c>
      <c r="K29" s="30">
        <f>IF($E29=0,0,_xlfn.IFERROR(IF($C29=1,(Индикаторы!J30-Индикаторы!$D30)/(Индикаторы!$E30-Индикаторы!$D30),(Индикаторы!$E30-Индикаторы!J30)/(Индикаторы!$E30-Индикаторы!$D30)),0))</f>
        <v>1</v>
      </c>
      <c r="L29" s="30">
        <f>IF($E29=0,0,_xlfn.IFERROR(IF($C29=1,(Индикаторы!K30-Индикаторы!$D30)/(Индикаторы!$E30-Индикаторы!$D30),(Индикаторы!$E30-Индикаторы!K30)/(Индикаторы!$E30-Индикаторы!$D30)),0))</f>
        <v>1</v>
      </c>
      <c r="M29" s="30">
        <f>IF($E29=0,0,_xlfn.IFERROR(IF($C29=1,(Индикаторы!L30-Индикаторы!$D30)/(Индикаторы!$E30-Индикаторы!$D30),(Индикаторы!$E30-Индикаторы!L30)/(Индикаторы!$E30-Индикаторы!$D30)),0))</f>
        <v>1</v>
      </c>
      <c r="N29" s="30">
        <f>IF($E29=0,0,_xlfn.IFERROR(IF($C29=1,(Индикаторы!M30-Индикаторы!$D30)/(Индикаторы!$E30-Индикаторы!$D30),(Индикаторы!$E30-Индикаторы!M30)/(Индикаторы!$E30-Индикаторы!$D30)),0))</f>
        <v>1</v>
      </c>
    </row>
    <row r="30" spans="1:14" s="31" customFormat="1" ht="75">
      <c r="A30" s="29" t="str">
        <f>Индикаторы!A31</f>
        <v>4.2</v>
      </c>
      <c r="B30" s="28" t="str">
        <f>Индикаторы!B31</f>
        <v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v>
      </c>
      <c r="C30" s="29">
        <v>1</v>
      </c>
      <c r="D30" s="29">
        <v>1.5</v>
      </c>
      <c r="E30" s="71">
        <v>1</v>
      </c>
      <c r="F30" s="29"/>
      <c r="G30" s="29"/>
      <c r="H30" s="29"/>
      <c r="I30" s="30">
        <f>IF($E30=0,0,_xlfn.IFERROR(IF($C30=1,(Индикаторы!H31-Индикаторы!$D31)/(Индикаторы!$E31-Индикаторы!$D31),(Индикаторы!$E31-Индикаторы!H31)/(Индикаторы!$E31-Индикаторы!$D31)),0))</f>
        <v>1</v>
      </c>
      <c r="J30" s="30">
        <f>IF($E30=0,0,_xlfn.IFERROR(IF($C30=1,(Индикаторы!I31-Индикаторы!$D31)/(Индикаторы!$E31-Индикаторы!$D31),(Индикаторы!$E31-Индикаторы!I31)/(Индикаторы!$E31-Индикаторы!$D31)),0))</f>
        <v>1</v>
      </c>
      <c r="K30" s="30">
        <f>IF($E30=0,0,_xlfn.IFERROR(IF($C30=1,(Индикаторы!J31-Индикаторы!$D31)/(Индикаторы!$E31-Индикаторы!$D31),(Индикаторы!$E31-Индикаторы!J31)/(Индикаторы!$E31-Индикаторы!$D31)),0))</f>
        <v>0</v>
      </c>
      <c r="L30" s="30">
        <f>IF($E30=0,0,_xlfn.IFERROR(IF($C30=1,(Индикаторы!K31-Индикаторы!$D31)/(Индикаторы!$E31-Индикаторы!$D31),(Индикаторы!$E31-Индикаторы!K31)/(Индикаторы!$E31-Индикаторы!$D31)),0))</f>
        <v>1</v>
      </c>
      <c r="M30" s="30">
        <f>IF($E30=0,0,_xlfn.IFERROR(IF($C30=1,(Индикаторы!L31-Индикаторы!$D31)/(Индикаторы!$E31-Индикаторы!$D31),(Индикаторы!$E31-Индикаторы!L31)/(Индикаторы!$E31-Индикаторы!$D31)),0))</f>
        <v>1</v>
      </c>
      <c r="N30" s="30">
        <f>IF($E30=0,0,_xlfn.IFERROR(IF($C30=1,(Индикаторы!M31-Индикаторы!$D31)/(Индикаторы!$E31-Индикаторы!$D31),(Индикаторы!$E31-Индикаторы!M31)/(Индикаторы!$E31-Индикаторы!$D31)),0))</f>
        <v>1</v>
      </c>
    </row>
    <row r="31" spans="1:14" s="31" customFormat="1" ht="75">
      <c r="A31" s="29" t="str">
        <f>Индикаторы!A32</f>
        <v>4.3</v>
      </c>
      <c r="B31" s="28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1" s="29">
        <v>1</v>
      </c>
      <c r="D31" s="29">
        <v>0.75</v>
      </c>
      <c r="E31" s="71">
        <v>1</v>
      </c>
      <c r="F31" s="29"/>
      <c r="G31" s="29"/>
      <c r="H31" s="29"/>
      <c r="I31" s="30">
        <f>IF($E31=0,0,_xlfn.IFERROR(IF($C31=1,(Индикаторы!H32-Индикаторы!$D32)/(Индикаторы!$E32-Индикаторы!$D32),(Индикаторы!$E32-Индикаторы!H32)/(Индикаторы!$E32-Индикаторы!$D32)),0))</f>
        <v>0</v>
      </c>
      <c r="J31" s="30">
        <f>IF($E31=0,0,_xlfn.IFERROR(IF($C31=1,(Индикаторы!I32-Индикаторы!$D32)/(Индикаторы!$E32-Индикаторы!$D32),(Индикаторы!$E32-Индикаторы!I32)/(Индикаторы!$E32-Индикаторы!$D32)),0))</f>
        <v>0</v>
      </c>
      <c r="K31" s="30">
        <f>IF($E31=0,0,_xlfn.IFERROR(IF($C31=1,(Индикаторы!J32-Индикаторы!$D32)/(Индикаторы!$E32-Индикаторы!$D32),(Индикаторы!$E32-Индикаторы!J32)/(Индикаторы!$E32-Индикаторы!$D32)),0))</f>
        <v>0</v>
      </c>
      <c r="L31" s="30">
        <f>IF($E31=0,0,_xlfn.IFERROR(IF($C31=1,(Индикаторы!K32-Индикаторы!$D32)/(Индикаторы!$E32-Индикаторы!$D32),(Индикаторы!$E32-Индикаторы!K32)/(Индикаторы!$E32-Индикаторы!$D32)),0))</f>
        <v>0</v>
      </c>
      <c r="M31" s="30">
        <f>IF($E31=0,0,_xlfn.IFERROR(IF($C31=1,(Индикаторы!L32-Индикаторы!$D32)/(Индикаторы!$E32-Индикаторы!$D32),(Индикаторы!$E32-Индикаторы!L32)/(Индикаторы!$E32-Индикаторы!$D32)),0))</f>
        <v>0</v>
      </c>
      <c r="N31" s="30">
        <f>IF($E31=0,0,_xlfn.IFERROR(IF($C31=1,(Индикаторы!M32-Индикаторы!$D32)/(Индикаторы!$E32-Индикаторы!$D32),(Индикаторы!$E32-Индикаторы!M32)/(Индикаторы!$E32-Индикаторы!$D32)),0))</f>
        <v>0</v>
      </c>
    </row>
    <row r="32" spans="1:14" s="31" customFormat="1" ht="90">
      <c r="A32" s="29" t="str">
        <f>Индикаторы!A33</f>
        <v>4.4</v>
      </c>
      <c r="B32" s="28" t="str">
        <f>Индикаторы!B33</f>
        <v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v>
      </c>
      <c r="C32" s="29">
        <v>1</v>
      </c>
      <c r="D32" s="29">
        <v>1.5</v>
      </c>
      <c r="E32" s="71">
        <v>1</v>
      </c>
      <c r="F32" s="29"/>
      <c r="G32" s="29"/>
      <c r="H32" s="29"/>
      <c r="I32" s="30">
        <f>IF($E32=0,0,_xlfn.IFERROR(IF($C32=1,(Индикаторы!H33-Индикаторы!$D33)/(Индикаторы!$E33-Индикаторы!$D33),(Индикаторы!$E33-Индикаторы!H33)/(Индикаторы!$E33-Индикаторы!$D33)),0))</f>
        <v>0</v>
      </c>
      <c r="J32" s="30">
        <f>IF($E32=0,0,_xlfn.IFERROR(IF($C32=1,(Индикаторы!I33-Индикаторы!$D33)/(Индикаторы!$E33-Индикаторы!$D33),(Индикаторы!$E33-Индикаторы!I33)/(Индикаторы!$E33-Индикаторы!$D33)),0))</f>
        <v>0</v>
      </c>
      <c r="K32" s="30">
        <f>IF($E32=0,0,_xlfn.IFERROR(IF($C32=1,(Индикаторы!J33-Индикаторы!$D33)/(Индикаторы!$E33-Индикаторы!$D33),(Индикаторы!$E33-Индикаторы!J33)/(Индикаторы!$E33-Индикаторы!$D33)),0))</f>
        <v>0</v>
      </c>
      <c r="L32" s="30">
        <f>IF($E32=0,0,_xlfn.IFERROR(IF($C32=1,(Индикаторы!K33-Индикаторы!$D33)/(Индикаторы!$E33-Индикаторы!$D33),(Индикаторы!$E33-Индикаторы!K33)/(Индикаторы!$E33-Индикаторы!$D33)),0))</f>
        <v>0</v>
      </c>
      <c r="M32" s="30">
        <f>IF($E32=0,0,_xlfn.IFERROR(IF($C32=1,(Индикаторы!L33-Индикаторы!$D33)/(Индикаторы!$E33-Индикаторы!$D33),(Индикаторы!$E33-Индикаторы!L33)/(Индикаторы!$E33-Индикаторы!$D33)),0))</f>
        <v>0</v>
      </c>
      <c r="N32" s="30">
        <f>IF($E32=0,0,_xlfn.IFERROR(IF($C32=1,(Индикаторы!M33-Индикаторы!$D33)/(Индикаторы!$E33-Индикаторы!$D33),(Индикаторы!$E33-Индикаторы!M33)/(Индикаторы!$E33-Индикаторы!$D33)),0))</f>
        <v>0</v>
      </c>
    </row>
    <row r="33" spans="1:14" s="31" customFormat="1" ht="90">
      <c r="A33" s="29" t="str">
        <f>Индикаторы!A34</f>
        <v>4.5</v>
      </c>
      <c r="B33" s="28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v>
      </c>
      <c r="C33" s="29">
        <v>1</v>
      </c>
      <c r="D33" s="29">
        <v>2</v>
      </c>
      <c r="E33" s="71">
        <v>1</v>
      </c>
      <c r="F33" s="29"/>
      <c r="G33" s="29"/>
      <c r="H33" s="29"/>
      <c r="I33" s="30">
        <f>IF($E33=0,0,_xlfn.IFERROR(IF($C33=1,(Индикаторы!H34-Индикаторы!$D34)/(Индикаторы!$E34-Индикаторы!$D34),(Индикаторы!$E34-Индикаторы!H34)/(Индикаторы!$E34-Индикаторы!$D34)),0))</f>
        <v>0</v>
      </c>
      <c r="J33" s="30">
        <f>IF($E33=0,0,_xlfn.IFERROR(IF($C33=1,(Индикаторы!I34-Индикаторы!$D34)/(Индикаторы!$E34-Индикаторы!$D34),(Индикаторы!$E34-Индикаторы!I34)/(Индикаторы!$E34-Индикаторы!$D34)),0))</f>
        <v>1</v>
      </c>
      <c r="K33" s="30">
        <f>IF($E33=0,0,_xlfn.IFERROR(IF($C33=1,(Индикаторы!J34-Индикаторы!$D34)/(Индикаторы!$E34-Индикаторы!$D34),(Индикаторы!$E34-Индикаторы!J34)/(Индикаторы!$E34-Индикаторы!$D34)),0))</f>
        <v>0.6882722877814684</v>
      </c>
      <c r="L33" s="30">
        <f>IF($E33=0,0,_xlfn.IFERROR(IF($C33=1,(Индикаторы!K34-Индикаторы!$D34)/(Индикаторы!$E34-Индикаторы!$D34),(Индикаторы!$E34-Индикаторы!K34)/(Индикаторы!$E34-Индикаторы!$D34)),0))</f>
        <v>0.36066448452293887</v>
      </c>
      <c r="M33" s="30">
        <f>IF($E33=0,0,_xlfn.IFERROR(IF($C33=1,(Индикаторы!L34-Индикаторы!$D34)/(Индикаторы!$E34-Индикаторы!$D34),(Индикаторы!$E34-Индикаторы!L34)/(Индикаторы!$E34-Индикаторы!$D34)),0))</f>
        <v>0.2164619369242432</v>
      </c>
      <c r="N33" s="30">
        <f>IF($E33=0,0,_xlfn.IFERROR(IF($C33=1,(Индикаторы!M34-Индикаторы!$D34)/(Индикаторы!$E34-Индикаторы!$D34),(Индикаторы!$E34-Индикаторы!M34)/(Индикаторы!$E34-Индикаторы!$D34)),0))</f>
        <v>0.5160087640364842</v>
      </c>
    </row>
    <row r="34" spans="1:14" s="31" customFormat="1" ht="45">
      <c r="A34" s="29" t="str">
        <f>Индикаторы!A35</f>
        <v>4.6</v>
      </c>
      <c r="B34" s="28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4" s="29">
        <v>1</v>
      </c>
      <c r="D34" s="29">
        <v>1.25</v>
      </c>
      <c r="E34" s="71">
        <v>1</v>
      </c>
      <c r="F34" s="29"/>
      <c r="G34" s="29"/>
      <c r="H34" s="29"/>
      <c r="I34" s="30">
        <f>IF($E34=0,0,_xlfn.IFERROR(IF($C34=1,(Индикаторы!H35-Индикаторы!$D35)/(Индикаторы!$E35-Индикаторы!$D35),(Индикаторы!$E35-Индикаторы!H35)/(Индикаторы!$E35-Индикаторы!$D35)),0))</f>
        <v>0</v>
      </c>
      <c r="J34" s="30">
        <f>IF($E34=0,0,_xlfn.IFERROR(IF($C34=1,(Индикаторы!I35-Индикаторы!$D35)/(Индикаторы!$E35-Индикаторы!$D35),(Индикаторы!$E35-Индикаторы!I35)/(Индикаторы!$E35-Индикаторы!$D35)),0))</f>
        <v>0</v>
      </c>
      <c r="K34" s="30">
        <f>IF($E34=0,0,_xlfn.IFERROR(IF($C34=1,(Индикаторы!J35-Индикаторы!$D35)/(Индикаторы!$E35-Индикаторы!$D35),(Индикаторы!$E35-Индикаторы!J35)/(Индикаторы!$E35-Индикаторы!$D35)),0))</f>
        <v>0</v>
      </c>
      <c r="L34" s="30">
        <f>IF($E34=0,0,_xlfn.IFERROR(IF($C34=1,(Индикаторы!K35-Индикаторы!$D35)/(Индикаторы!$E35-Индикаторы!$D35),(Индикаторы!$E35-Индикаторы!K35)/(Индикаторы!$E35-Индикаторы!$D35)),0))</f>
        <v>0</v>
      </c>
      <c r="M34" s="30">
        <f>IF($E34=0,0,_xlfn.IFERROR(IF($C34=1,(Индикаторы!L35-Индикаторы!$D35)/(Индикаторы!$E35-Индикаторы!$D35),(Индикаторы!$E35-Индикаторы!L35)/(Индикаторы!$E35-Индикаторы!$D35)),0))</f>
        <v>0</v>
      </c>
      <c r="N34" s="30">
        <f>IF($E34=0,0,_xlfn.IFERROR(IF($C34=1,(Индикаторы!M35-Индикаторы!$D35)/(Индикаторы!$E35-Индикаторы!$D35),(Индикаторы!$E35-Индикаторы!M35)/(Индикаторы!$E35-Индикаторы!$D35)),0))</f>
        <v>0</v>
      </c>
    </row>
    <row r="35" spans="1:14" s="31" customFormat="1" ht="30">
      <c r="A35" s="29" t="str">
        <f>Индикаторы!A36</f>
        <v>4.7</v>
      </c>
      <c r="B35" s="35" t="str">
        <f>Индикаторы!B36</f>
        <v>Доля бюджетных и автономных учреждений из общего количества муниципальных учреждений</v>
      </c>
      <c r="C35" s="29">
        <v>1</v>
      </c>
      <c r="D35" s="29">
        <v>1.5</v>
      </c>
      <c r="E35" s="71">
        <v>1</v>
      </c>
      <c r="F35" s="29"/>
      <c r="G35" s="29"/>
      <c r="H35" s="29"/>
      <c r="I35" s="30">
        <f>IF($E35=0,0,_xlfn.IFERROR(IF($C35=1,(Индикаторы!H36-Индикаторы!$D36)/(Индикаторы!$E36-Индикаторы!$D36),(Индикаторы!$E36-Индикаторы!H36)/(Индикаторы!$E36-Индикаторы!$D36)),0))</f>
        <v>0</v>
      </c>
      <c r="J35" s="30">
        <f>IF($E35=0,0,_xlfn.IFERROR(IF($C35=1,(Индикаторы!I36-Индикаторы!$D36)/(Индикаторы!$E36-Индикаторы!$D36),(Индикаторы!$E36-Индикаторы!I36)/(Индикаторы!$E36-Индикаторы!$D36)),0))</f>
        <v>0</v>
      </c>
      <c r="K35" s="30">
        <f>IF($E35=0,0,_xlfn.IFERROR(IF($C35=1,(Индикаторы!J36-Индикаторы!$D36)/(Индикаторы!$E36-Индикаторы!$D36),(Индикаторы!$E36-Индикаторы!J36)/(Индикаторы!$E36-Индикаторы!$D36)),0))</f>
        <v>0</v>
      </c>
      <c r="L35" s="30">
        <f>IF($E35=0,0,_xlfn.IFERROR(IF($C35=1,(Индикаторы!K36-Индикаторы!$D36)/(Индикаторы!$E36-Индикаторы!$D36),(Индикаторы!$E36-Индикаторы!K36)/(Индикаторы!$E36-Индикаторы!$D36)),0))</f>
        <v>0</v>
      </c>
      <c r="M35" s="30">
        <f>IF($E35=0,0,_xlfn.IFERROR(IF($C35=1,(Индикаторы!L36-Индикаторы!$D36)/(Индикаторы!$E36-Индикаторы!$D36),(Индикаторы!$E36-Индикаторы!L36)/(Индикаторы!$E36-Индикаторы!$D36)),0))</f>
        <v>0</v>
      </c>
      <c r="N35" s="30">
        <f>IF($E35=0,0,_xlfn.IFERROR(IF($C35=1,(Индикаторы!M36-Индикаторы!$D36)/(Индикаторы!$E36-Индикаторы!$D36),(Индикаторы!$E36-Индикаторы!M36)/(Индикаторы!$E36-Индикаторы!$D36)),0))</f>
        <v>0</v>
      </c>
    </row>
    <row r="36" spans="1:14" s="26" customFormat="1" ht="15">
      <c r="A36" s="22"/>
      <c r="B36" s="38" t="s">
        <v>18</v>
      </c>
      <c r="C36" s="39"/>
      <c r="D36" s="54">
        <v>1</v>
      </c>
      <c r="E36" s="39"/>
      <c r="F36" s="40"/>
      <c r="G36" s="41"/>
      <c r="H36" s="41"/>
      <c r="I36" s="55">
        <f aca="true" t="shared" si="5" ref="I36:N36">SUMPRODUCT($E$37:$E$43,$D$37:$D$43,I37:I43)</f>
        <v>5</v>
      </c>
      <c r="J36" s="55">
        <f t="shared" si="5"/>
        <v>3.5</v>
      </c>
      <c r="K36" s="55">
        <f t="shared" si="5"/>
        <v>3.25</v>
      </c>
      <c r="L36" s="55">
        <f t="shared" si="5"/>
        <v>1.75</v>
      </c>
      <c r="M36" s="55">
        <f t="shared" si="5"/>
        <v>5</v>
      </c>
      <c r="N36" s="55">
        <f t="shared" si="5"/>
        <v>3.25</v>
      </c>
    </row>
    <row r="37" spans="1:14" s="31" customFormat="1" ht="60">
      <c r="A37" s="29" t="str">
        <f>Индикаторы!A38</f>
        <v>5.1</v>
      </c>
      <c r="B37" s="28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v>
      </c>
      <c r="C37" s="29">
        <v>1</v>
      </c>
      <c r="D37" s="29">
        <v>1.75</v>
      </c>
      <c r="E37" s="71">
        <v>1</v>
      </c>
      <c r="F37" s="29"/>
      <c r="G37" s="29"/>
      <c r="H37" s="29"/>
      <c r="I37" s="30">
        <f>IF($E37=0,0,_xlfn.IFERROR(IF($C37=1,(Индикаторы!H38-Индикаторы!$D38)/(Индикаторы!$E38-Индикаторы!$D38),(Индикаторы!$E38-Индикаторы!H38)/(Индикаторы!$E38-Индикаторы!$D38)),0))</f>
        <v>1</v>
      </c>
      <c r="J37" s="30">
        <f>IF($E37=0,0,_xlfn.IFERROR(IF($C37=1,(Индикаторы!I38-Индикаторы!$D38)/(Индикаторы!$E38-Индикаторы!$D38),(Индикаторы!$E38-Индикаторы!I38)/(Индикаторы!$E38-Индикаторы!$D38)),0))</f>
        <v>1</v>
      </c>
      <c r="K37" s="30">
        <f>IF($E37=0,0,_xlfn.IFERROR(IF($C37=1,(Индикаторы!J38-Индикаторы!$D38)/(Индикаторы!$E38-Индикаторы!$D38),(Индикаторы!$E38-Индикаторы!J38)/(Индикаторы!$E38-Индикаторы!$D38)),0))</f>
        <v>1</v>
      </c>
      <c r="L37" s="30">
        <f>IF($E37=0,0,_xlfn.IFERROR(IF($C37=1,(Индикаторы!K38-Индикаторы!$D38)/(Индикаторы!$E38-Индикаторы!$D38),(Индикаторы!$E38-Индикаторы!K38)/(Индикаторы!$E38-Индикаторы!$D38)),0))</f>
        <v>1</v>
      </c>
      <c r="M37" s="30">
        <f>IF($E37=0,0,_xlfn.IFERROR(IF($C37=1,(Индикаторы!L38-Индикаторы!$D38)/(Индикаторы!$E38-Индикаторы!$D38),(Индикаторы!$E38-Индикаторы!L38)/(Индикаторы!$E38-Индикаторы!$D38)),0))</f>
        <v>1</v>
      </c>
      <c r="N37" s="30">
        <f>IF($E37=0,0,_xlfn.IFERROR(IF($C37=1,(Индикаторы!M38-Индикаторы!$D38)/(Индикаторы!$E38-Индикаторы!$D38),(Индикаторы!$E38-Индикаторы!M38)/(Индикаторы!$E38-Индикаторы!$D38)),0))</f>
        <v>0</v>
      </c>
    </row>
    <row r="38" spans="1:14" s="31" customFormat="1" ht="45">
      <c r="A38" s="29" t="str">
        <f>Индикаторы!A39</f>
        <v>5.2</v>
      </c>
      <c r="B38" s="28" t="str">
        <f>Индикаторы!B39</f>
        <v>Ежемесячное размещение на официальном сайте органов местного самоуправления отчетов об исполнении бюджета муниципального образования</v>
      </c>
      <c r="C38" s="29">
        <v>1</v>
      </c>
      <c r="D38" s="29">
        <v>1.75</v>
      </c>
      <c r="E38" s="71">
        <v>1</v>
      </c>
      <c r="F38" s="29"/>
      <c r="G38" s="29"/>
      <c r="H38" s="29"/>
      <c r="I38" s="30">
        <f>IF($E38=0,0,_xlfn.IFERROR(IF($C38=1,(Индикаторы!H39-Индикаторы!$D39)/(Индикаторы!$E39-Индикаторы!$D39),(Индикаторы!$E39-Индикаторы!H39)/(Индикаторы!$E39-Индикаторы!$D39)),0))</f>
        <v>1</v>
      </c>
      <c r="J38" s="30">
        <f>IF($E38=0,0,_xlfn.IFERROR(IF($C38=1,(Индикаторы!I39-Индикаторы!$D39)/(Индикаторы!$E39-Индикаторы!$D39),(Индикаторы!$E39-Индикаторы!I39)/(Индикаторы!$E39-Индикаторы!$D39)),0))</f>
        <v>1</v>
      </c>
      <c r="K38" s="30">
        <f>IF($E38=0,0,_xlfn.IFERROR(IF($C38=1,(Индикаторы!J39-Индикаторы!$D39)/(Индикаторы!$E39-Индикаторы!$D39),(Индикаторы!$E39-Индикаторы!J39)/(Индикаторы!$E39-Индикаторы!$D39)),0))</f>
        <v>0</v>
      </c>
      <c r="L38" s="30">
        <f>IF($E38=0,0,_xlfn.IFERROR(IF($C38=1,(Индикаторы!K39-Индикаторы!$D39)/(Индикаторы!$E39-Индикаторы!$D39),(Индикаторы!$E39-Индикаторы!K39)/(Индикаторы!$E39-Индикаторы!$D39)),0))</f>
        <v>0</v>
      </c>
      <c r="M38" s="30">
        <f>IF($E38=0,0,_xlfn.IFERROR(IF($C38=1,(Индикаторы!L39-Индикаторы!$D39)/(Индикаторы!$E39-Индикаторы!$D39),(Индикаторы!$E39-Индикаторы!L39)/(Индикаторы!$E39-Индикаторы!$D39)),0))</f>
        <v>1</v>
      </c>
      <c r="N38" s="30">
        <f>IF($E38=0,0,_xlfn.IFERROR(IF($C38=1,(Индикаторы!M39-Индикаторы!$D39)/(Индикаторы!$E39-Индикаторы!$D39),(Индикаторы!$E39-Индикаторы!M39)/(Индикаторы!$E39-Индикаторы!$D39)),0))</f>
        <v>1</v>
      </c>
    </row>
    <row r="39" spans="1:14" s="31" customFormat="1" ht="60">
      <c r="A39" s="29" t="str">
        <f>Индикаторы!A40</f>
        <v>5.3</v>
      </c>
      <c r="B39" s="28" t="str">
        <f>Индикаторы!B40</f>
        <v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v>
      </c>
      <c r="C39" s="29">
        <v>1</v>
      </c>
      <c r="D39" s="29">
        <v>1.5</v>
      </c>
      <c r="E39" s="71">
        <v>1</v>
      </c>
      <c r="F39" s="29"/>
      <c r="G39" s="29"/>
      <c r="H39" s="29"/>
      <c r="I39" s="30">
        <f>IF($E39=0,0,_xlfn.IFERROR(IF($C39=1,(Индикаторы!H40-Индикаторы!$D40)/(Индикаторы!$E40-Индикаторы!$D40),(Индикаторы!$E40-Индикаторы!H40)/(Индикаторы!$E40-Индикаторы!$D40)),0))</f>
        <v>0</v>
      </c>
      <c r="J39" s="30">
        <f>IF($E39=0,0,_xlfn.IFERROR(IF($C39=1,(Индикаторы!I40-Индикаторы!$D40)/(Индикаторы!$E40-Индикаторы!$D40),(Индикаторы!$E40-Индикаторы!I40)/(Индикаторы!$E40-Индикаторы!$D40)),0))</f>
        <v>0</v>
      </c>
      <c r="K39" s="30">
        <f>IF($E39=0,0,_xlfn.IFERROR(IF($C39=1,(Индикаторы!J40-Индикаторы!$D40)/(Индикаторы!$E40-Индикаторы!$D40),(Индикаторы!$E40-Индикаторы!J40)/(Индикаторы!$E40-Индикаторы!$D40)),0))</f>
        <v>0</v>
      </c>
      <c r="L39" s="30">
        <f>IF($E39=0,0,_xlfn.IFERROR(IF($C39=1,(Индикаторы!K40-Индикаторы!$D40)/(Индикаторы!$E40-Индикаторы!$D40),(Индикаторы!$E40-Индикаторы!K40)/(Индикаторы!$E40-Индикаторы!$D40)),0))</f>
        <v>0</v>
      </c>
      <c r="M39" s="30">
        <f>IF($E39=0,0,_xlfn.IFERROR(IF($C39=1,(Индикаторы!L40-Индикаторы!$D40)/(Индикаторы!$E40-Индикаторы!$D40),(Индикаторы!$E40-Индикаторы!L40)/(Индикаторы!$E40-Индикаторы!$D40)),0))</f>
        <v>0</v>
      </c>
      <c r="N39" s="30">
        <f>IF($E39=0,0,_xlfn.IFERROR(IF($C39=1,(Индикаторы!M40-Индикаторы!$D40)/(Индикаторы!$E40-Индикаторы!$D40),(Индикаторы!$E40-Индикаторы!M40)/(Индикаторы!$E40-Индикаторы!$D40)),0))</f>
        <v>0</v>
      </c>
    </row>
    <row r="40" spans="1:14" s="31" customFormat="1" ht="60">
      <c r="A40" s="29" t="str">
        <f>Индикаторы!A41</f>
        <v>5.4</v>
      </c>
      <c r="B40" s="28" t="str">
        <f>Индикаторы!B41</f>
        <v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v>
      </c>
      <c r="C40" s="29">
        <v>1</v>
      </c>
      <c r="D40" s="29">
        <v>1.5</v>
      </c>
      <c r="E40" s="71">
        <v>1</v>
      </c>
      <c r="F40" s="29"/>
      <c r="G40" s="29"/>
      <c r="H40" s="29"/>
      <c r="I40" s="30">
        <f>IF($E40=0,0,_xlfn.IFERROR(IF($C40=1,(Индикаторы!H41-Индикаторы!$D41)/(Индикаторы!$E41-Индикаторы!$D41),(Индикаторы!$E41-Индикаторы!H41)/(Индикаторы!$E41-Индикаторы!$D41)),0))</f>
        <v>1</v>
      </c>
      <c r="J40" s="30">
        <f>IF($E40=0,0,_xlfn.IFERROR(IF($C40=1,(Индикаторы!I41-Индикаторы!$D41)/(Индикаторы!$E41-Индикаторы!$D41),(Индикаторы!$E41-Индикаторы!I41)/(Индикаторы!$E41-Индикаторы!$D41)),0))</f>
        <v>0</v>
      </c>
      <c r="K40" s="30">
        <f>IF($E40=0,0,_xlfn.IFERROR(IF($C40=1,(Индикаторы!J41-Индикаторы!$D41)/(Индикаторы!$E41-Индикаторы!$D41),(Индикаторы!$E41-Индикаторы!J41)/(Индикаторы!$E41-Индикаторы!$D41)),0))</f>
        <v>1</v>
      </c>
      <c r="L40" s="30">
        <f>IF($E40=0,0,_xlfn.IFERROR(IF($C40=1,(Индикаторы!K41-Индикаторы!$D41)/(Индикаторы!$E41-Индикаторы!$D41),(Индикаторы!$E41-Индикаторы!K41)/(Индикаторы!$E41-Индикаторы!$D41)),0))</f>
        <v>0</v>
      </c>
      <c r="M40" s="30">
        <f>IF($E40=0,0,_xlfn.IFERROR(IF($C40=1,(Индикаторы!L41-Индикаторы!$D41)/(Индикаторы!$E41-Индикаторы!$D41),(Индикаторы!$E41-Индикаторы!L41)/(Индикаторы!$E41-Индикаторы!$D41)),0))</f>
        <v>1</v>
      </c>
      <c r="N40" s="30">
        <f>IF($E40=0,0,_xlfn.IFERROR(IF($C40=1,(Индикаторы!M41-Индикаторы!$D41)/(Индикаторы!$E41-Индикаторы!$D41),(Индикаторы!$E41-Индикаторы!M41)/(Индикаторы!$E41-Индикаторы!$D41)),0))</f>
        <v>1</v>
      </c>
    </row>
    <row r="41" spans="1:14" s="31" customFormat="1" ht="60">
      <c r="A41" s="29" t="str">
        <f>Индикаторы!A42</f>
        <v>5.5</v>
      </c>
      <c r="B41" s="28" t="str">
        <f>Индикаторы!B42</f>
        <v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v>
      </c>
      <c r="C41" s="29">
        <v>1</v>
      </c>
      <c r="D41" s="29">
        <v>1.5</v>
      </c>
      <c r="E41" s="71">
        <v>1</v>
      </c>
      <c r="F41" s="29"/>
      <c r="G41" s="29"/>
      <c r="H41" s="29"/>
      <c r="I41" s="30">
        <f>IF($E41=0,0,_xlfn.IFERROR(IF($C41=1,(Индикаторы!H42-Индикаторы!$D42)/(Индикаторы!$E42-Индикаторы!$D42),(Индикаторы!$E42-Индикаторы!H42)/(Индикаторы!$E42-Индикаторы!$D42)),0))</f>
        <v>0</v>
      </c>
      <c r="J41" s="30">
        <f>IF($E41=0,0,_xlfn.IFERROR(IF($C41=1,(Индикаторы!I42-Индикаторы!$D42)/(Индикаторы!$E42-Индикаторы!$D42),(Индикаторы!$E42-Индикаторы!I42)/(Индикаторы!$E42-Индикаторы!$D42)),0))</f>
        <v>0</v>
      </c>
      <c r="K41" s="30">
        <f>IF($E41=0,0,_xlfn.IFERROR(IF($C41=1,(Индикаторы!J42-Индикаторы!$D42)/(Индикаторы!$E42-Индикаторы!$D42),(Индикаторы!$E42-Индикаторы!J42)/(Индикаторы!$E42-Индикаторы!$D42)),0))</f>
        <v>0</v>
      </c>
      <c r="L41" s="30">
        <f>IF($E41=0,0,_xlfn.IFERROR(IF($C41=1,(Индикаторы!K42-Индикаторы!$D42)/(Индикаторы!$E42-Индикаторы!$D42),(Индикаторы!$E42-Индикаторы!K42)/(Индикаторы!$E42-Индикаторы!$D42)),0))</f>
        <v>0</v>
      </c>
      <c r="M41" s="30">
        <f>IF($E41=0,0,_xlfn.IFERROR(IF($C41=1,(Индикаторы!L42-Индикаторы!$D42)/(Индикаторы!$E42-Индикаторы!$D42),(Индикаторы!$E42-Индикаторы!L42)/(Индикаторы!$E42-Индикаторы!$D42)),0))</f>
        <v>0</v>
      </c>
      <c r="N41" s="30">
        <f>IF($E41=0,0,_xlfn.IFERROR(IF($C41=1,(Индикаторы!M42-Индикаторы!$D42)/(Индикаторы!$E42-Индикаторы!$D42),(Индикаторы!$E42-Индикаторы!M42)/(Индикаторы!$E42-Индикаторы!$D42)),0))</f>
        <v>0</v>
      </c>
    </row>
    <row r="42" spans="1:14" s="31" customFormat="1" ht="105">
      <c r="A42" s="29" t="str">
        <f>Индикаторы!A43</f>
        <v>5.6</v>
      </c>
      <c r="B42" s="28" t="str">
        <f>Индикаторы!B43</f>
        <v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v>
      </c>
      <c r="C42" s="29">
        <v>1</v>
      </c>
      <c r="D42" s="29">
        <v>1</v>
      </c>
      <c r="E42" s="71">
        <v>1</v>
      </c>
      <c r="F42" s="29"/>
      <c r="G42" s="29"/>
      <c r="H42" s="29"/>
      <c r="I42" s="30">
        <f>IF($E42=0,0,_xlfn.IFERROR(IF($C42=1,(Индикаторы!H43-Индикаторы!$D43)/(Индикаторы!$E43-Индикаторы!$D43),(Индикаторы!$E43-Индикаторы!H43)/(Индикаторы!$E43-Индикаторы!$D43)),0))</f>
        <v>0</v>
      </c>
      <c r="J42" s="30">
        <f>IF($E42=0,0,_xlfn.IFERROR(IF($C42=1,(Индикаторы!I43-Индикаторы!$D43)/(Индикаторы!$E43-Индикаторы!$D43),(Индикаторы!$E43-Индикаторы!I43)/(Индикаторы!$E43-Индикаторы!$D43)),0))</f>
        <v>0</v>
      </c>
      <c r="K42" s="30">
        <f>IF($E42=0,0,_xlfn.IFERROR(IF($C42=1,(Индикаторы!J43-Индикаторы!$D43)/(Индикаторы!$E43-Индикаторы!$D43),(Индикаторы!$E43-Индикаторы!J43)/(Индикаторы!$E43-Индикаторы!$D43)),0))</f>
        <v>0</v>
      </c>
      <c r="L42" s="30">
        <f>IF($E42=0,0,_xlfn.IFERROR(IF($C42=1,(Индикаторы!K43-Индикаторы!$D43)/(Индикаторы!$E43-Индикаторы!$D43),(Индикаторы!$E43-Индикаторы!K43)/(Индикаторы!$E43-Индикаторы!$D43)),0))</f>
        <v>0</v>
      </c>
      <c r="M42" s="30">
        <f>IF($E42=0,0,_xlfn.IFERROR(IF($C42=1,(Индикаторы!L43-Индикаторы!$D43)/(Индикаторы!$E43-Индикаторы!$D43),(Индикаторы!$E43-Индикаторы!L43)/(Индикаторы!$E43-Индикаторы!$D43)),0))</f>
        <v>0</v>
      </c>
      <c r="N42" s="30">
        <f>IF($E42=0,0,_xlfn.IFERROR(IF($C42=1,(Индикаторы!M43-Индикаторы!$D43)/(Индикаторы!$E43-Индикаторы!$D43),(Индикаторы!$E43-Индикаторы!M43)/(Индикаторы!$E43-Индикаторы!$D43)),0))</f>
        <v>0</v>
      </c>
    </row>
    <row r="43" spans="1:14" s="31" customFormat="1" ht="45">
      <c r="A43" s="29" t="str">
        <f>Индикаторы!A44</f>
        <v>5.7</v>
      </c>
      <c r="B43" s="28" t="str">
        <f>Индикаторы!B44</f>
        <v>Своевременность предоставления бюджетной отчетности в Департамент финансов Ханты-Мансийского автономного округа – Югры</v>
      </c>
      <c r="C43" s="29">
        <v>1</v>
      </c>
      <c r="D43" s="29">
        <v>1</v>
      </c>
      <c r="E43" s="71">
        <v>1</v>
      </c>
      <c r="F43" s="29"/>
      <c r="G43" s="29"/>
      <c r="H43" s="29"/>
      <c r="I43" s="30">
        <f>IF($E43=0,0,_xlfn.IFERROR(IF($C43=1,(Индикаторы!H44-Индикаторы!$D44)/(Индикаторы!$E44-Индикаторы!$D44),(Индикаторы!$E44-Индикаторы!H44)/(Индикаторы!$E44-Индикаторы!$D44)),0))</f>
        <v>0</v>
      </c>
      <c r="J43" s="30">
        <f>IF($E43=0,0,_xlfn.IFERROR(IF($C43=1,(Индикаторы!I44-Индикаторы!$D44)/(Индикаторы!$E44-Индикаторы!$D44),(Индикаторы!$E44-Индикаторы!I44)/(Индикаторы!$E44-Индикаторы!$D44)),0))</f>
        <v>0</v>
      </c>
      <c r="K43" s="30">
        <f>IF($E43=0,0,_xlfn.IFERROR(IF($C43=1,(Индикаторы!J44-Индикаторы!$D44)/(Индикаторы!$E44-Индикаторы!$D44),(Индикаторы!$E44-Индикаторы!J44)/(Индикаторы!$E44-Индикаторы!$D44)),0))</f>
        <v>0</v>
      </c>
      <c r="L43" s="30">
        <f>IF($E43=0,0,_xlfn.IFERROR(IF($C43=1,(Индикаторы!K44-Индикаторы!$D44)/(Индикаторы!$E44-Индикаторы!$D44),(Индикаторы!$E44-Индикаторы!K44)/(Индикаторы!$E44-Индикаторы!$D44)),0))</f>
        <v>0</v>
      </c>
      <c r="M43" s="30">
        <f>IF($E43=0,0,_xlfn.IFERROR(IF($C43=1,(Индикаторы!L44-Индикаторы!$D44)/(Индикаторы!$E44-Индикаторы!$D44),(Индикаторы!$E44-Индикаторы!L44)/(Индикаторы!$E44-Индикаторы!$D44)),0))</f>
        <v>0</v>
      </c>
      <c r="N43" s="30">
        <f>IF($E43=0,0,_xlfn.IFERROR(IF($C43=1,(Индикаторы!M44-Индикаторы!$D44)/(Индикаторы!$E44-Индикаторы!$D44),(Индикаторы!$E44-Индикаторы!M44)/(Индикаторы!$E44-Индикаторы!$D44)),0))</f>
        <v>0</v>
      </c>
    </row>
  </sheetData>
  <sheetProtection/>
  <autoFilter ref="A4:N43"/>
  <mergeCells count="1">
    <mergeCell ref="C2:N2"/>
  </mergeCells>
  <printOptions/>
  <pageMargins left="0" right="0.17" top="0" bottom="0" header="0" footer="0"/>
  <pageSetup fitToHeight="0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3:M44"/>
  <sheetViews>
    <sheetView zoomScale="80" zoomScaleNormal="8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M3"/>
    </sheetView>
  </sheetViews>
  <sheetFormatPr defaultColWidth="9.140625" defaultRowHeight="15"/>
  <cols>
    <col min="1" max="1" width="6.00390625" style="2" customWidth="1"/>
    <col min="2" max="2" width="53.00390625" style="0" customWidth="1"/>
    <col min="3" max="3" width="48.421875" style="0" customWidth="1"/>
    <col min="4" max="4" width="14.421875" style="0" customWidth="1"/>
    <col min="5" max="5" width="16.28125" style="0" customWidth="1"/>
    <col min="6" max="6" width="9.8515625" style="0" customWidth="1"/>
    <col min="7" max="7" width="9.28125" style="0" customWidth="1"/>
    <col min="8" max="8" width="15.57421875" style="0" bestFit="1" customWidth="1"/>
    <col min="9" max="9" width="12.8515625" style="0" customWidth="1"/>
    <col min="10" max="10" width="18.28125" style="0" customWidth="1"/>
    <col min="11" max="11" width="17.8515625" style="0" bestFit="1" customWidth="1"/>
    <col min="12" max="12" width="12.7109375" style="0" customWidth="1"/>
    <col min="13" max="13" width="19.57421875" style="0" customWidth="1"/>
  </cols>
  <sheetData>
    <row r="3" spans="3:13" ht="18.75">
      <c r="C3" s="205" t="s">
        <v>233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5" spans="1:13" ht="47.25">
      <c r="A5" s="3" t="s">
        <v>0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20</v>
      </c>
      <c r="G5" s="3" t="s">
        <v>21</v>
      </c>
      <c r="H5" s="115" t="s">
        <v>182</v>
      </c>
      <c r="I5" s="115" t="s">
        <v>183</v>
      </c>
      <c r="J5" s="115" t="s">
        <v>184</v>
      </c>
      <c r="K5" s="115" t="s">
        <v>185</v>
      </c>
      <c r="L5" s="115" t="s">
        <v>186</v>
      </c>
      <c r="M5" s="115" t="s">
        <v>187</v>
      </c>
    </row>
    <row r="6" spans="1:13" ht="15.7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3" customFormat="1" ht="15.75">
      <c r="A7" s="10"/>
      <c r="B7" s="11" t="s">
        <v>11</v>
      </c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</row>
    <row r="8" spans="1:13" s="7" customFormat="1" ht="63">
      <c r="A8" s="14" t="s">
        <v>22</v>
      </c>
      <c r="B8" s="5" t="s">
        <v>1</v>
      </c>
      <c r="C8" s="6" t="s">
        <v>161</v>
      </c>
      <c r="D8" s="65">
        <v>0</v>
      </c>
      <c r="E8" s="65">
        <v>1</v>
      </c>
      <c r="F8" s="4">
        <f aca="true" t="shared" si="0" ref="F8:F13">MIN($H8:$M8)</f>
        <v>1</v>
      </c>
      <c r="G8" s="4">
        <f aca="true" t="shared" si="1" ref="G8:G13">MAX($H8:$M8)</f>
        <v>1</v>
      </c>
      <c r="H8" s="9">
        <f>Данные!F6</f>
        <v>1</v>
      </c>
      <c r="I8" s="9">
        <f>Данные!G6</f>
        <v>1</v>
      </c>
      <c r="J8" s="9">
        <f>Данные!H6</f>
        <v>1</v>
      </c>
      <c r="K8" s="9">
        <f>Данные!I6</f>
        <v>1</v>
      </c>
      <c r="L8" s="9">
        <f>Данные!J6</f>
        <v>1</v>
      </c>
      <c r="M8" s="9">
        <f>Данные!K6</f>
        <v>1</v>
      </c>
    </row>
    <row r="9" spans="1:13" s="7" customFormat="1" ht="63">
      <c r="A9" s="14" t="s">
        <v>23</v>
      </c>
      <c r="B9" s="6" t="s">
        <v>12</v>
      </c>
      <c r="C9" s="6" t="s">
        <v>160</v>
      </c>
      <c r="D9" s="65">
        <v>0</v>
      </c>
      <c r="E9" s="65">
        <v>1</v>
      </c>
      <c r="F9" s="4">
        <f t="shared" si="0"/>
        <v>1</v>
      </c>
      <c r="G9" s="4">
        <f t="shared" si="1"/>
        <v>1</v>
      </c>
      <c r="H9" s="9">
        <f>Данные!F7</f>
        <v>1</v>
      </c>
      <c r="I9" s="9">
        <f>Данные!G7</f>
        <v>1</v>
      </c>
      <c r="J9" s="9">
        <f>Данные!H7</f>
        <v>1</v>
      </c>
      <c r="K9" s="9">
        <f>Данные!I7</f>
        <v>1</v>
      </c>
      <c r="L9" s="9">
        <f>Данные!J7</f>
        <v>1</v>
      </c>
      <c r="M9" s="9">
        <f>Данные!K7</f>
        <v>1</v>
      </c>
    </row>
    <row r="10" spans="1:13" s="7" customFormat="1" ht="141.75">
      <c r="A10" s="14" t="s">
        <v>24</v>
      </c>
      <c r="B10" s="5" t="s">
        <v>155</v>
      </c>
      <c r="C10" s="6" t="s">
        <v>159</v>
      </c>
      <c r="D10" s="65" t="e">
        <f>F10</f>
        <v>#DIV/0!</v>
      </c>
      <c r="E10" s="65" t="e">
        <f>G10</f>
        <v>#DIV/0!</v>
      </c>
      <c r="F10" s="37" t="e">
        <f t="shared" si="0"/>
        <v>#DIV/0!</v>
      </c>
      <c r="G10" s="37" t="e">
        <f t="shared" si="1"/>
        <v>#DIV/0!</v>
      </c>
      <c r="H10" s="43" t="e">
        <f>ABS(Данные!F11+Данные!F12-Данные!F9-Данные!F10)/(Данные!F9+Данные!F10)</f>
        <v>#DIV/0!</v>
      </c>
      <c r="I10" s="43" t="e">
        <f>ABS(Данные!G11+Данные!G12-Данные!G9-Данные!G10)/(Данные!G9+Данные!G10)</f>
        <v>#DIV/0!</v>
      </c>
      <c r="J10" s="43" t="e">
        <f>ABS(Данные!H11+Данные!H12-Данные!H9-Данные!H10)/(Данные!H9+Данные!H10)</f>
        <v>#DIV/0!</v>
      </c>
      <c r="K10" s="43" t="e">
        <f>ABS(Данные!I11+Данные!I12-Данные!I9-Данные!I10)/(Данные!I9+Данные!I10)</f>
        <v>#DIV/0!</v>
      </c>
      <c r="L10" s="43" t="e">
        <f>ABS(Данные!J11+Данные!J12-Данные!J9-Данные!J10)/(Данные!J9+Данные!J10)</f>
        <v>#DIV/0!</v>
      </c>
      <c r="M10" s="43" t="e">
        <f>ABS(Данные!K11+Данные!K12-Данные!K9-Данные!K10)/(Данные!K9+Данные!K10)</f>
        <v>#DIV/0!</v>
      </c>
    </row>
    <row r="11" spans="1:13" s="7" customFormat="1" ht="126">
      <c r="A11" s="14" t="s">
        <v>25</v>
      </c>
      <c r="B11" s="66" t="s">
        <v>156</v>
      </c>
      <c r="C11" s="6" t="s">
        <v>162</v>
      </c>
      <c r="D11" s="65">
        <v>0</v>
      </c>
      <c r="E11" s="65">
        <v>1</v>
      </c>
      <c r="F11" s="4">
        <f t="shared" si="0"/>
        <v>0</v>
      </c>
      <c r="G11" s="4">
        <f t="shared" si="1"/>
        <v>1</v>
      </c>
      <c r="H11" s="9">
        <f>Данные!F13</f>
        <v>1</v>
      </c>
      <c r="I11" s="9">
        <f>Данные!G13</f>
        <v>1</v>
      </c>
      <c r="J11" s="9">
        <f>Данные!H13</f>
        <v>1</v>
      </c>
      <c r="K11" s="9">
        <f>Данные!I13</f>
        <v>1</v>
      </c>
      <c r="L11" s="9">
        <f>Данные!J13</f>
        <v>0</v>
      </c>
      <c r="M11" s="9">
        <f>Данные!K13</f>
        <v>0</v>
      </c>
    </row>
    <row r="12" spans="1:13" s="7" customFormat="1" ht="236.25">
      <c r="A12" s="14" t="s">
        <v>26</v>
      </c>
      <c r="B12" s="6" t="s">
        <v>83</v>
      </c>
      <c r="C12" s="6" t="s">
        <v>163</v>
      </c>
      <c r="D12" s="65">
        <f>F12</f>
        <v>96.31939353662965</v>
      </c>
      <c r="E12" s="65">
        <f>G12</f>
        <v>99.46841892855302</v>
      </c>
      <c r="F12" s="64">
        <f t="shared" si="0"/>
        <v>96.31939353662965</v>
      </c>
      <c r="G12" s="64">
        <f t="shared" si="1"/>
        <v>99.46841892855302</v>
      </c>
      <c r="H12" s="67">
        <f>Данные!F15/(Данные!F81-Данные!F16)*100</f>
        <v>99.46841892855302</v>
      </c>
      <c r="I12" s="67">
        <f>Данные!G15/(Данные!G81-Данные!G16)*100</f>
        <v>98.02352728907333</v>
      </c>
      <c r="J12" s="67">
        <f>Данные!H15/(Данные!H81-Данные!H16)*100</f>
        <v>99.26742544713849</v>
      </c>
      <c r="K12" s="67">
        <f>Данные!I15/(Данные!I81-Данные!I16)*100</f>
        <v>96.31939353662965</v>
      </c>
      <c r="L12" s="67">
        <f>Данные!J15/(Данные!J81-Данные!J16)*100</f>
        <v>97.8263512990674</v>
      </c>
      <c r="M12" s="67">
        <f>Данные!K15/(Данные!K81-Данные!K16)*100</f>
        <v>97.52510211238042</v>
      </c>
    </row>
    <row r="13" spans="1:13" s="7" customFormat="1" ht="141.75">
      <c r="A13" s="14" t="s">
        <v>27</v>
      </c>
      <c r="B13" s="66" t="s">
        <v>157</v>
      </c>
      <c r="C13" s="6" t="s">
        <v>158</v>
      </c>
      <c r="D13" s="65">
        <v>0</v>
      </c>
      <c r="E13" s="65">
        <v>1</v>
      </c>
      <c r="F13" s="4">
        <f t="shared" si="0"/>
        <v>1</v>
      </c>
      <c r="G13" s="4">
        <f t="shared" si="1"/>
        <v>1</v>
      </c>
      <c r="H13" s="68">
        <f>Данные!F17</f>
        <v>1</v>
      </c>
      <c r="I13" s="68">
        <f>Данные!G17</f>
        <v>1</v>
      </c>
      <c r="J13" s="68">
        <f>Данные!H17</f>
        <v>1</v>
      </c>
      <c r="K13" s="68">
        <f>Данные!I17</f>
        <v>1</v>
      </c>
      <c r="L13" s="68">
        <f>Данные!J17</f>
        <v>1</v>
      </c>
      <c r="M13" s="68">
        <f>Данные!K17</f>
        <v>1</v>
      </c>
    </row>
    <row r="14" spans="1:13" s="13" customFormat="1" ht="15.75">
      <c r="A14" s="10"/>
      <c r="B14" s="16" t="s">
        <v>13</v>
      </c>
      <c r="C14" s="17"/>
      <c r="D14" s="17"/>
      <c r="E14" s="18"/>
      <c r="F14" s="42"/>
      <c r="G14" s="42"/>
      <c r="H14" s="12"/>
      <c r="I14" s="12"/>
      <c r="J14" s="12"/>
      <c r="K14" s="12"/>
      <c r="L14" s="12"/>
      <c r="M14" s="12"/>
    </row>
    <row r="15" spans="1:13" s="7" customFormat="1" ht="47.25">
      <c r="A15" s="14" t="s">
        <v>32</v>
      </c>
      <c r="B15" s="69" t="s">
        <v>14</v>
      </c>
      <c r="C15" s="70" t="s">
        <v>84</v>
      </c>
      <c r="D15" s="37">
        <f aca="true" t="shared" si="2" ref="D15:E22">F15</f>
        <v>3</v>
      </c>
      <c r="E15" s="37">
        <f t="shared" si="2"/>
        <v>6</v>
      </c>
      <c r="F15" s="37">
        <f aca="true" t="shared" si="3" ref="F15:F24">MIN($H15:$M15)</f>
        <v>3</v>
      </c>
      <c r="G15" s="37">
        <f aca="true" t="shared" si="4" ref="G15:G24">MAX($H15:$M15)</f>
        <v>6</v>
      </c>
      <c r="H15" s="43">
        <f>Данные!F19</f>
        <v>4</v>
      </c>
      <c r="I15" s="43">
        <f>Данные!G19</f>
        <v>5</v>
      </c>
      <c r="J15" s="43">
        <f>Данные!H19</f>
        <v>6</v>
      </c>
      <c r="K15" s="43">
        <f>Данные!I19</f>
        <v>4</v>
      </c>
      <c r="L15" s="43">
        <f>Данные!J19</f>
        <v>3</v>
      </c>
      <c r="M15" s="43">
        <f>Данные!K19</f>
        <v>4</v>
      </c>
    </row>
    <row r="16" spans="1:13" s="7" customFormat="1" ht="130.5" customHeight="1">
      <c r="A16" s="14" t="s">
        <v>33</v>
      </c>
      <c r="B16" s="69" t="s">
        <v>85</v>
      </c>
      <c r="C16" s="70" t="s">
        <v>86</v>
      </c>
      <c r="D16" s="37" t="e">
        <f t="shared" si="2"/>
        <v>#DIV/0!</v>
      </c>
      <c r="E16" s="37" t="e">
        <f t="shared" si="2"/>
        <v>#DIV/0!</v>
      </c>
      <c r="F16" s="37" t="e">
        <f t="shared" si="3"/>
        <v>#DIV/0!</v>
      </c>
      <c r="G16" s="37" t="e">
        <f t="shared" si="4"/>
        <v>#DIV/0!</v>
      </c>
      <c r="H16" s="43" t="e">
        <f>Данные!F20</f>
        <v>#DIV/0!</v>
      </c>
      <c r="I16" s="43" t="e">
        <f>Данные!G20</f>
        <v>#DIV/0!</v>
      </c>
      <c r="J16" s="43" t="e">
        <f>Данные!H20</f>
        <v>#DIV/0!</v>
      </c>
      <c r="K16" s="43" t="e">
        <f>Данные!I20</f>
        <v>#DIV/0!</v>
      </c>
      <c r="L16" s="43" t="e">
        <f>Данные!J20</f>
        <v>#DIV/0!</v>
      </c>
      <c r="M16" s="43" t="e">
        <f>Данные!K20</f>
        <v>#DIV/0!</v>
      </c>
    </row>
    <row r="17" spans="1:13" s="7" customFormat="1" ht="126">
      <c r="A17" s="14" t="s">
        <v>34</v>
      </c>
      <c r="B17" s="69" t="s">
        <v>87</v>
      </c>
      <c r="C17" s="70" t="s">
        <v>88</v>
      </c>
      <c r="D17" s="37" t="e">
        <f t="shared" si="2"/>
        <v>#DIV/0!</v>
      </c>
      <c r="E17" s="37" t="e">
        <f t="shared" si="2"/>
        <v>#DIV/0!</v>
      </c>
      <c r="F17" s="37" t="e">
        <f t="shared" si="3"/>
        <v>#DIV/0!</v>
      </c>
      <c r="G17" s="37" t="e">
        <f t="shared" si="4"/>
        <v>#DIV/0!</v>
      </c>
      <c r="H17" s="43" t="e">
        <f>Данные!F23</f>
        <v>#DIV/0!</v>
      </c>
      <c r="I17" s="43" t="e">
        <f>Данные!G23</f>
        <v>#DIV/0!</v>
      </c>
      <c r="J17" s="43" t="e">
        <f>Данные!H23</f>
        <v>#DIV/0!</v>
      </c>
      <c r="K17" s="43" t="e">
        <f>Данные!I23</f>
        <v>#DIV/0!</v>
      </c>
      <c r="L17" s="43" t="e">
        <f>Данные!J23</f>
        <v>#DIV/0!</v>
      </c>
      <c r="M17" s="43" t="e">
        <f>Данные!K23</f>
        <v>#DIV/0!</v>
      </c>
    </row>
    <row r="18" spans="1:13" s="7" customFormat="1" ht="126">
      <c r="A18" s="14" t="s">
        <v>35</v>
      </c>
      <c r="B18" s="69" t="s">
        <v>89</v>
      </c>
      <c r="C18" s="70" t="s">
        <v>90</v>
      </c>
      <c r="D18" s="37">
        <f t="shared" si="2"/>
        <v>0</v>
      </c>
      <c r="E18" s="37">
        <f t="shared" si="2"/>
        <v>20.323237883357606</v>
      </c>
      <c r="F18" s="37">
        <f t="shared" si="3"/>
        <v>0</v>
      </c>
      <c r="G18" s="37">
        <f t="shared" si="4"/>
        <v>20.323237883357606</v>
      </c>
      <c r="H18" s="43">
        <f>Данные!F26</f>
        <v>20.323237883357606</v>
      </c>
      <c r="I18" s="43">
        <f>Данные!G26</f>
        <v>0</v>
      </c>
      <c r="J18" s="43">
        <f>Данные!H26</f>
        <v>0</v>
      </c>
      <c r="K18" s="43">
        <f>Данные!I26</f>
        <v>0</v>
      </c>
      <c r="L18" s="43">
        <f>Данные!J26</f>
        <v>0</v>
      </c>
      <c r="M18" s="43">
        <f>Данные!K26</f>
        <v>0</v>
      </c>
    </row>
    <row r="19" spans="1:13" s="7" customFormat="1" ht="157.5">
      <c r="A19" s="14" t="s">
        <v>36</v>
      </c>
      <c r="B19" s="69" t="s">
        <v>91</v>
      </c>
      <c r="C19" s="70" t="s">
        <v>92</v>
      </c>
      <c r="D19" s="37">
        <f t="shared" si="2"/>
        <v>0.6816771377708543</v>
      </c>
      <c r="E19" s="37">
        <f t="shared" si="2"/>
        <v>1.3610407055824836</v>
      </c>
      <c r="F19" s="37">
        <f t="shared" si="3"/>
        <v>0.6816771377708543</v>
      </c>
      <c r="G19" s="37">
        <f t="shared" si="4"/>
        <v>1.3610407055824836</v>
      </c>
      <c r="H19" s="43">
        <f>_xlfn.IFERROR(Данные!F38/AVERAGE(Данные!F29,Данные!F32,Данные!F35),0)</f>
        <v>1.3610407055824836</v>
      </c>
      <c r="I19" s="43">
        <f>_xlfn.IFERROR(Данные!G38/AVERAGE(Данные!G29,Данные!G32,Данные!G35),0)</f>
        <v>0.6816771377708543</v>
      </c>
      <c r="J19" s="43">
        <f>_xlfn.IFERROR(Данные!H38/AVERAGE(Данные!H29,Данные!H32,Данные!H35),0)</f>
        <v>1.2756902356902355</v>
      </c>
      <c r="K19" s="43">
        <f>_xlfn.IFERROR(Данные!I38/AVERAGE(Данные!I29,Данные!I32,Данные!I35),0)</f>
        <v>0.8857065863298416</v>
      </c>
      <c r="L19" s="43">
        <f>_xlfn.IFERROR(Данные!J38/AVERAGE(Данные!J29,Данные!J32,Данные!J35),0)</f>
        <v>0.9833556724748435</v>
      </c>
      <c r="M19" s="43">
        <f>_xlfn.IFERROR(Данные!K38/AVERAGE(Данные!K29,Данные!K32,Данные!K35),0)</f>
        <v>0.8039833343854556</v>
      </c>
    </row>
    <row r="20" spans="1:13" s="7" customFormat="1" ht="220.5">
      <c r="A20" s="14" t="s">
        <v>37</v>
      </c>
      <c r="B20" s="69" t="s">
        <v>93</v>
      </c>
      <c r="C20" s="70" t="s">
        <v>94</v>
      </c>
      <c r="D20" s="37">
        <f t="shared" si="2"/>
        <v>0</v>
      </c>
      <c r="E20" s="37">
        <f t="shared" si="2"/>
        <v>0.15008390576560668</v>
      </c>
      <c r="F20" s="37">
        <f t="shared" si="3"/>
        <v>0</v>
      </c>
      <c r="G20" s="37">
        <f t="shared" si="4"/>
        <v>0.15008390576560668</v>
      </c>
      <c r="H20" s="43">
        <f>Данные!F41</f>
        <v>0.15008390576560668</v>
      </c>
      <c r="I20" s="43">
        <f>Данные!G41</f>
        <v>0.04276177371934653</v>
      </c>
      <c r="J20" s="43">
        <f>Данные!H41</f>
        <v>0</v>
      </c>
      <c r="K20" s="43">
        <f>Данные!I41</f>
        <v>0.04848511902863957</v>
      </c>
      <c r="L20" s="43">
        <f>Данные!J41</f>
        <v>0</v>
      </c>
      <c r="M20" s="43">
        <f>Данные!K41</f>
        <v>0</v>
      </c>
    </row>
    <row r="21" spans="1:13" s="7" customFormat="1" ht="141.75">
      <c r="A21" s="14" t="s">
        <v>38</v>
      </c>
      <c r="B21" s="69" t="s">
        <v>95</v>
      </c>
      <c r="C21" s="70" t="s">
        <v>96</v>
      </c>
      <c r="D21" s="37">
        <f t="shared" si="2"/>
        <v>0</v>
      </c>
      <c r="E21" s="37">
        <f t="shared" si="2"/>
        <v>0</v>
      </c>
      <c r="F21" s="37">
        <f t="shared" si="3"/>
        <v>0</v>
      </c>
      <c r="G21" s="37">
        <f t="shared" si="4"/>
        <v>0</v>
      </c>
      <c r="H21" s="43">
        <f>Данные!F43</f>
        <v>0</v>
      </c>
      <c r="I21" s="43">
        <f>Данные!G43</f>
        <v>0</v>
      </c>
      <c r="J21" s="43">
        <f>Данные!H43</f>
        <v>0</v>
      </c>
      <c r="K21" s="43">
        <f>Данные!I43</f>
        <v>0</v>
      </c>
      <c r="L21" s="43">
        <f>Данные!J43</f>
        <v>0</v>
      </c>
      <c r="M21" s="43">
        <f>Данные!K43</f>
        <v>0</v>
      </c>
    </row>
    <row r="22" spans="1:13" s="7" customFormat="1" ht="94.5">
      <c r="A22" s="14" t="s">
        <v>39</v>
      </c>
      <c r="B22" s="69" t="s">
        <v>97</v>
      </c>
      <c r="C22" s="70" t="s">
        <v>98</v>
      </c>
      <c r="D22" s="37">
        <f t="shared" si="2"/>
        <v>0</v>
      </c>
      <c r="E22" s="37">
        <f t="shared" si="2"/>
        <v>0</v>
      </c>
      <c r="F22" s="37">
        <f t="shared" si="3"/>
        <v>0</v>
      </c>
      <c r="G22" s="37">
        <f t="shared" si="4"/>
        <v>0</v>
      </c>
      <c r="H22" s="43">
        <f>Данные!F45</f>
        <v>0</v>
      </c>
      <c r="I22" s="43">
        <f>Данные!G45</f>
        <v>0</v>
      </c>
      <c r="J22" s="43">
        <f>Данные!H45</f>
        <v>0</v>
      </c>
      <c r="K22" s="43">
        <f>Данные!I45</f>
        <v>0</v>
      </c>
      <c r="L22" s="43">
        <f>Данные!J45</f>
        <v>0</v>
      </c>
      <c r="M22" s="43">
        <f>Данные!K45</f>
        <v>0</v>
      </c>
    </row>
    <row r="23" spans="1:13" s="7" customFormat="1" ht="94.5">
      <c r="A23" s="14" t="s">
        <v>40</v>
      </c>
      <c r="B23" s="69" t="s">
        <v>164</v>
      </c>
      <c r="C23" s="70" t="s">
        <v>165</v>
      </c>
      <c r="D23" s="65">
        <v>0</v>
      </c>
      <c r="E23" s="65">
        <v>1</v>
      </c>
      <c r="F23" s="37">
        <f t="shared" si="3"/>
        <v>0</v>
      </c>
      <c r="G23" s="37">
        <f t="shared" si="4"/>
        <v>0</v>
      </c>
      <c r="H23" s="43">
        <f>Данные!F46</f>
        <v>0</v>
      </c>
      <c r="I23" s="43">
        <f>Данные!G46</f>
        <v>0</v>
      </c>
      <c r="J23" s="43">
        <f>Данные!H46</f>
        <v>0</v>
      </c>
      <c r="K23" s="43">
        <f>Данные!I46</f>
        <v>0</v>
      </c>
      <c r="L23" s="43">
        <f>Данные!J46</f>
        <v>0</v>
      </c>
      <c r="M23" s="43">
        <f>Данные!K46</f>
        <v>0</v>
      </c>
    </row>
    <row r="24" spans="1:13" s="7" customFormat="1" ht="78.75">
      <c r="A24" s="14" t="s">
        <v>41</v>
      </c>
      <c r="B24" s="69" t="s">
        <v>166</v>
      </c>
      <c r="C24" s="70" t="s">
        <v>167</v>
      </c>
      <c r="D24" s="65">
        <v>0</v>
      </c>
      <c r="E24" s="65">
        <v>1</v>
      </c>
      <c r="F24" s="37">
        <f t="shared" si="3"/>
        <v>0</v>
      </c>
      <c r="G24" s="37">
        <f t="shared" si="4"/>
        <v>0</v>
      </c>
      <c r="H24" s="43">
        <f>Данные!F47</f>
        <v>0</v>
      </c>
      <c r="I24" s="43">
        <f>Данные!G47</f>
        <v>0</v>
      </c>
      <c r="J24" s="43">
        <f>Данные!H47</f>
        <v>0</v>
      </c>
      <c r="K24" s="43">
        <f>Данные!I47</f>
        <v>0</v>
      </c>
      <c r="L24" s="43">
        <f>Данные!J47</f>
        <v>0</v>
      </c>
      <c r="M24" s="43">
        <f>Данные!K47</f>
        <v>0</v>
      </c>
    </row>
    <row r="25" spans="1:13" s="13" customFormat="1" ht="15.75">
      <c r="A25" s="10"/>
      <c r="B25" s="44" t="s">
        <v>15</v>
      </c>
      <c r="C25" s="45"/>
      <c r="D25" s="45"/>
      <c r="E25" s="46"/>
      <c r="F25" s="47"/>
      <c r="G25" s="47"/>
      <c r="H25" s="48"/>
      <c r="I25" s="48"/>
      <c r="J25" s="48"/>
      <c r="K25" s="48"/>
      <c r="L25" s="48"/>
      <c r="M25" s="48"/>
    </row>
    <row r="26" spans="1:13" s="7" customFormat="1" ht="78.75">
      <c r="A26" s="14" t="s">
        <v>42</v>
      </c>
      <c r="B26" s="69" t="s">
        <v>2</v>
      </c>
      <c r="C26" s="70" t="s">
        <v>99</v>
      </c>
      <c r="D26" s="37">
        <v>0</v>
      </c>
      <c r="E26" s="37">
        <f>G26</f>
        <v>0</v>
      </c>
      <c r="F26" s="37">
        <f>MIN($H26:$M26)</f>
        <v>0</v>
      </c>
      <c r="G26" s="37">
        <f>MAX($H26:$M26)</f>
        <v>0</v>
      </c>
      <c r="H26" s="43">
        <f>Данные!F49</f>
        <v>0</v>
      </c>
      <c r="I26" s="43">
        <f>Данные!G49</f>
        <v>0</v>
      </c>
      <c r="J26" s="43">
        <f>Данные!H49</f>
        <v>0</v>
      </c>
      <c r="K26" s="43">
        <f>Данные!I49</f>
        <v>0</v>
      </c>
      <c r="L26" s="43">
        <f>Данные!J49</f>
        <v>0</v>
      </c>
      <c r="M26" s="43">
        <f>Данные!K49</f>
        <v>0</v>
      </c>
    </row>
    <row r="27" spans="1:13" s="7" customFormat="1" ht="141.75">
      <c r="A27" s="14" t="s">
        <v>43</v>
      </c>
      <c r="B27" s="69" t="s">
        <v>100</v>
      </c>
      <c r="C27" s="70" t="s">
        <v>101</v>
      </c>
      <c r="D27" s="37">
        <f>F27</f>
        <v>0</v>
      </c>
      <c r="E27" s="37">
        <f>G27</f>
        <v>0</v>
      </c>
      <c r="F27" s="37">
        <f>MIN($H27:$M27)</f>
        <v>0</v>
      </c>
      <c r="G27" s="37">
        <f>MAX($H27:$M27)</f>
        <v>0</v>
      </c>
      <c r="H27" s="43">
        <f>_xlfn.IFERROR(Данные!F51/Данные!F52,0)</f>
        <v>0</v>
      </c>
      <c r="I27" s="43">
        <f>_xlfn.IFERROR(Данные!G51/Данные!G52,0)</f>
        <v>0</v>
      </c>
      <c r="J27" s="43">
        <f>_xlfn.IFERROR(Данные!H51/Данные!H52,0)</f>
        <v>0</v>
      </c>
      <c r="K27" s="43">
        <f>_xlfn.IFERROR(Данные!I51/Данные!I52,0)</f>
        <v>0</v>
      </c>
      <c r="L27" s="43">
        <f>_xlfn.IFERROR(Данные!J51/Данные!J52,0)</f>
        <v>0</v>
      </c>
      <c r="M27" s="43">
        <f>_xlfn.IFERROR(Данные!K51/Данные!K52,0)</f>
        <v>0</v>
      </c>
    </row>
    <row r="28" spans="1:13" s="7" customFormat="1" ht="141.75">
      <c r="A28" s="14" t="s">
        <v>104</v>
      </c>
      <c r="B28" s="69" t="s">
        <v>102</v>
      </c>
      <c r="C28" s="70" t="s">
        <v>103</v>
      </c>
      <c r="D28" s="37">
        <f>F28</f>
        <v>0</v>
      </c>
      <c r="E28" s="37">
        <f>G28</f>
        <v>0</v>
      </c>
      <c r="F28" s="37">
        <f>MIN($H28:$M28)</f>
        <v>0</v>
      </c>
      <c r="G28" s="37">
        <f>MAX($H28:$M28)</f>
        <v>0</v>
      </c>
      <c r="H28" s="43">
        <f>_xlfn.IFERROR(Данные!F54/(Данные!F55),0)</f>
        <v>0</v>
      </c>
      <c r="I28" s="43">
        <f>_xlfn.IFERROR(Данные!G54/(Данные!G55),0)</f>
        <v>0</v>
      </c>
      <c r="J28" s="43">
        <f>_xlfn.IFERROR(Данные!H54/(Данные!H55),0)</f>
        <v>0</v>
      </c>
      <c r="K28" s="43">
        <f>_xlfn.IFERROR(Данные!I54/(Данные!I55),0)</f>
        <v>0</v>
      </c>
      <c r="L28" s="43">
        <f>_xlfn.IFERROR(Данные!J54/(Данные!J55),0)</f>
        <v>0</v>
      </c>
      <c r="M28" s="43">
        <f>_xlfn.IFERROR(Данные!K54/(Данные!K55),0)</f>
        <v>0</v>
      </c>
    </row>
    <row r="29" spans="1:13" s="13" customFormat="1" ht="15.75">
      <c r="A29" s="10"/>
      <c r="B29" s="11" t="s">
        <v>16</v>
      </c>
      <c r="C29" s="11"/>
      <c r="D29" s="11"/>
      <c r="E29" s="11"/>
      <c r="F29" s="11"/>
      <c r="G29" s="11"/>
      <c r="H29" s="12"/>
      <c r="I29" s="12"/>
      <c r="J29" s="12"/>
      <c r="K29" s="12"/>
      <c r="L29" s="12"/>
      <c r="M29" s="12"/>
    </row>
    <row r="30" spans="1:13" s="7" customFormat="1" ht="141.75">
      <c r="A30" s="14" t="s">
        <v>44</v>
      </c>
      <c r="B30" s="69" t="s">
        <v>67</v>
      </c>
      <c r="C30" s="70" t="s">
        <v>168</v>
      </c>
      <c r="D30" s="65">
        <v>0</v>
      </c>
      <c r="E30" s="65">
        <v>1</v>
      </c>
      <c r="F30" s="37">
        <f aca="true" t="shared" si="5" ref="F30:F36">MIN($H30:$M30)</f>
        <v>1</v>
      </c>
      <c r="G30" s="37">
        <f aca="true" t="shared" si="6" ref="G30:G36">MAX($H30:$M30)</f>
        <v>1</v>
      </c>
      <c r="H30" s="43">
        <f>Данные!F57</f>
        <v>1</v>
      </c>
      <c r="I30" s="43">
        <f>Данные!G57</f>
        <v>1</v>
      </c>
      <c r="J30" s="43">
        <f>Данные!H57</f>
        <v>1</v>
      </c>
      <c r="K30" s="43">
        <f>Данные!I57</f>
        <v>1</v>
      </c>
      <c r="L30" s="43">
        <f>Данные!J57</f>
        <v>1</v>
      </c>
      <c r="M30" s="43">
        <f>Данные!K57</f>
        <v>1</v>
      </c>
    </row>
    <row r="31" spans="1:13" s="7" customFormat="1" ht="94.5">
      <c r="A31" s="14" t="s">
        <v>45</v>
      </c>
      <c r="B31" s="69" t="s">
        <v>169</v>
      </c>
      <c r="C31" s="70" t="s">
        <v>170</v>
      </c>
      <c r="D31" s="65">
        <v>0</v>
      </c>
      <c r="E31" s="65">
        <v>1</v>
      </c>
      <c r="F31" s="37">
        <f t="shared" si="5"/>
        <v>0</v>
      </c>
      <c r="G31" s="37">
        <f t="shared" si="6"/>
        <v>1</v>
      </c>
      <c r="H31" s="43">
        <f>Данные!F58</f>
        <v>1</v>
      </c>
      <c r="I31" s="43">
        <f>Данные!G58</f>
        <v>1</v>
      </c>
      <c r="J31" s="43">
        <f>Данные!H58</f>
        <v>0</v>
      </c>
      <c r="K31" s="43">
        <f>Данные!I58</f>
        <v>1</v>
      </c>
      <c r="L31" s="43">
        <f>Данные!J58</f>
        <v>1</v>
      </c>
      <c r="M31" s="43">
        <f>Данные!K58</f>
        <v>1</v>
      </c>
    </row>
    <row r="32" spans="1:13" s="7" customFormat="1" ht="94.5">
      <c r="A32" s="14" t="s">
        <v>46</v>
      </c>
      <c r="B32" s="69" t="s">
        <v>149</v>
      </c>
      <c r="C32" s="70" t="s">
        <v>171</v>
      </c>
      <c r="D32" s="65">
        <v>0</v>
      </c>
      <c r="E32" s="65">
        <v>1</v>
      </c>
      <c r="F32" s="37">
        <f t="shared" si="5"/>
        <v>0</v>
      </c>
      <c r="G32" s="37">
        <f t="shared" si="6"/>
        <v>0</v>
      </c>
      <c r="H32" s="43">
        <f>Данные!F59</f>
        <v>0</v>
      </c>
      <c r="I32" s="43">
        <f>Данные!G59</f>
        <v>0</v>
      </c>
      <c r="J32" s="43">
        <f>Данные!H59</f>
        <v>0</v>
      </c>
      <c r="K32" s="43">
        <f>Данные!I59</f>
        <v>0</v>
      </c>
      <c r="L32" s="43">
        <f>Данные!J59</f>
        <v>0</v>
      </c>
      <c r="M32" s="43">
        <f>Данные!K59</f>
        <v>0</v>
      </c>
    </row>
    <row r="33" spans="1:13" s="7" customFormat="1" ht="204.75">
      <c r="A33" s="14" t="s">
        <v>47</v>
      </c>
      <c r="B33" s="69" t="s">
        <v>105</v>
      </c>
      <c r="C33" s="70" t="s">
        <v>106</v>
      </c>
      <c r="D33" s="37">
        <f>F33</f>
        <v>0</v>
      </c>
      <c r="E33" s="37">
        <f>G33</f>
        <v>0</v>
      </c>
      <c r="F33" s="37">
        <f t="shared" si="5"/>
        <v>0</v>
      </c>
      <c r="G33" s="37">
        <f t="shared" si="6"/>
        <v>0</v>
      </c>
      <c r="H33" s="43">
        <f>Данные!F60</f>
        <v>0</v>
      </c>
      <c r="I33" s="43">
        <f>Данные!G60</f>
        <v>0</v>
      </c>
      <c r="J33" s="43">
        <f>Данные!H60</f>
        <v>0</v>
      </c>
      <c r="K33" s="43">
        <f>Данные!I60</f>
        <v>0</v>
      </c>
      <c r="L33" s="43">
        <f>Данные!J60</f>
        <v>0</v>
      </c>
      <c r="M33" s="43">
        <f>Данные!K60</f>
        <v>0</v>
      </c>
    </row>
    <row r="34" spans="1:13" s="7" customFormat="1" ht="173.25">
      <c r="A34" s="14" t="s">
        <v>48</v>
      </c>
      <c r="B34" s="69" t="s">
        <v>107</v>
      </c>
      <c r="C34" s="70" t="s">
        <v>108</v>
      </c>
      <c r="D34" s="37">
        <f>F34</f>
        <v>5.114008631399487</v>
      </c>
      <c r="E34" s="37">
        <f>G34</f>
        <v>37.78867494139714</v>
      </c>
      <c r="F34" s="37">
        <f t="shared" si="5"/>
        <v>5.114008631399487</v>
      </c>
      <c r="G34" s="37">
        <f t="shared" si="6"/>
        <v>37.78867494139714</v>
      </c>
      <c r="H34" s="43">
        <f>Данные!F63</f>
        <v>5.114008631399487</v>
      </c>
      <c r="I34" s="43">
        <f>Данные!G63</f>
        <v>37.78867494139714</v>
      </c>
      <c r="J34" s="43">
        <f>Данные!H63</f>
        <v>27.603075965077643</v>
      </c>
      <c r="K34" s="43">
        <f>Данные!I63</f>
        <v>16.898600313053826</v>
      </c>
      <c r="L34" s="43">
        <f>Данные!J63</f>
        <v>12.186830189214893</v>
      </c>
      <c r="M34" s="43">
        <f>Данные!K63</f>
        <v>21.974422809325926</v>
      </c>
    </row>
    <row r="35" spans="1:13" s="7" customFormat="1" ht="47.25">
      <c r="A35" s="14" t="s">
        <v>49</v>
      </c>
      <c r="B35" s="69" t="s">
        <v>5</v>
      </c>
      <c r="C35" s="70" t="s">
        <v>172</v>
      </c>
      <c r="D35" s="65">
        <v>0</v>
      </c>
      <c r="E35" s="65">
        <v>1</v>
      </c>
      <c r="F35" s="37">
        <f t="shared" si="5"/>
        <v>0</v>
      </c>
      <c r="G35" s="37">
        <f t="shared" si="6"/>
        <v>0</v>
      </c>
      <c r="H35" s="43">
        <f>Данные!F66</f>
        <v>0</v>
      </c>
      <c r="I35" s="43">
        <f>Данные!G66</f>
        <v>0</v>
      </c>
      <c r="J35" s="43">
        <f>Данные!H66</f>
        <v>0</v>
      </c>
      <c r="K35" s="43">
        <f>Данные!I66</f>
        <v>0</v>
      </c>
      <c r="L35" s="43">
        <f>Данные!J66</f>
        <v>0</v>
      </c>
      <c r="M35" s="43">
        <f>Данные!K66</f>
        <v>0</v>
      </c>
    </row>
    <row r="36" spans="1:13" s="7" customFormat="1" ht="157.5">
      <c r="A36" s="14" t="s">
        <v>50</v>
      </c>
      <c r="B36" s="70" t="s">
        <v>17</v>
      </c>
      <c r="C36" s="70" t="s">
        <v>68</v>
      </c>
      <c r="D36" s="37">
        <f>F36</f>
        <v>0</v>
      </c>
      <c r="E36" s="37">
        <f>G36</f>
        <v>0</v>
      </c>
      <c r="F36" s="37">
        <f t="shared" si="5"/>
        <v>0</v>
      </c>
      <c r="G36" s="37">
        <f t="shared" si="6"/>
        <v>0</v>
      </c>
      <c r="H36" s="43">
        <f>(Данные!F69+Данные!F70)/(Данные!F68)</f>
        <v>0</v>
      </c>
      <c r="I36" s="43">
        <f>(Данные!G69+Данные!G70)/(Данные!G68)</f>
        <v>0</v>
      </c>
      <c r="J36" s="43">
        <f>(Данные!H69+Данные!H70)/(Данные!H68)</f>
        <v>0</v>
      </c>
      <c r="K36" s="43">
        <f>(Данные!I69+Данные!I70)/(Данные!I68)</f>
        <v>0</v>
      </c>
      <c r="L36" s="43">
        <f>(Данные!J69+Данные!J70)/(Данные!J68)</f>
        <v>0</v>
      </c>
      <c r="M36" s="43">
        <f>(Данные!K69+Данные!K70)/(Данные!K68)</f>
        <v>0</v>
      </c>
    </row>
    <row r="37" spans="1:13" ht="15.75">
      <c r="A37" s="45"/>
      <c r="B37" s="44" t="s">
        <v>173</v>
      </c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</row>
    <row r="38" spans="1:13" s="7" customFormat="1" ht="78.75">
      <c r="A38" s="14" t="s">
        <v>51</v>
      </c>
      <c r="B38" s="69" t="s">
        <v>19</v>
      </c>
      <c r="C38" s="70" t="s">
        <v>174</v>
      </c>
      <c r="D38" s="37">
        <f>F38</f>
        <v>0</v>
      </c>
      <c r="E38" s="37">
        <f>G38</f>
        <v>1</v>
      </c>
      <c r="F38" s="37">
        <f aca="true" t="shared" si="7" ref="F38:F44">MIN($H38:$M38)</f>
        <v>0</v>
      </c>
      <c r="G38" s="37">
        <f aca="true" t="shared" si="8" ref="G38:G44">MAX($H38:$M38)</f>
        <v>1</v>
      </c>
      <c r="H38" s="43">
        <f>Данные!F73</f>
        <v>1</v>
      </c>
      <c r="I38" s="43">
        <f>Данные!G73</f>
        <v>1</v>
      </c>
      <c r="J38" s="43">
        <f>Данные!H73</f>
        <v>1</v>
      </c>
      <c r="K38" s="43">
        <f>Данные!I73</f>
        <v>1</v>
      </c>
      <c r="L38" s="43">
        <f>Данные!J73</f>
        <v>1</v>
      </c>
      <c r="M38" s="43">
        <f>Данные!K73</f>
        <v>0</v>
      </c>
    </row>
    <row r="39" spans="1:13" s="7" customFormat="1" ht="63">
      <c r="A39" s="14" t="s">
        <v>52</v>
      </c>
      <c r="B39" s="69" t="s">
        <v>77</v>
      </c>
      <c r="C39" s="70" t="s">
        <v>175</v>
      </c>
      <c r="D39" s="37">
        <f>F39</f>
        <v>0</v>
      </c>
      <c r="E39" s="37">
        <f aca="true" t="shared" si="9" ref="D39:E44">G39</f>
        <v>1</v>
      </c>
      <c r="F39" s="37">
        <f t="shared" si="7"/>
        <v>0</v>
      </c>
      <c r="G39" s="37">
        <f t="shared" si="8"/>
        <v>1</v>
      </c>
      <c r="H39" s="43">
        <f>Данные!F74</f>
        <v>1</v>
      </c>
      <c r="I39" s="43">
        <f>Данные!G74</f>
        <v>1</v>
      </c>
      <c r="J39" s="43">
        <f>Данные!H74</f>
        <v>0</v>
      </c>
      <c r="K39" s="43">
        <f>Данные!I74</f>
        <v>0</v>
      </c>
      <c r="L39" s="43">
        <f>Данные!J74</f>
        <v>1</v>
      </c>
      <c r="M39" s="43">
        <f>Данные!K74</f>
        <v>1</v>
      </c>
    </row>
    <row r="40" spans="1:13" s="7" customFormat="1" ht="94.5">
      <c r="A40" s="14" t="s">
        <v>53</v>
      </c>
      <c r="B40" s="69" t="s">
        <v>78</v>
      </c>
      <c r="C40" s="70" t="s">
        <v>176</v>
      </c>
      <c r="D40" s="37">
        <f>F40</f>
        <v>1</v>
      </c>
      <c r="E40" s="37">
        <f t="shared" si="9"/>
        <v>1</v>
      </c>
      <c r="F40" s="37">
        <f t="shared" si="7"/>
        <v>1</v>
      </c>
      <c r="G40" s="37">
        <f t="shared" si="8"/>
        <v>1</v>
      </c>
      <c r="H40" s="43">
        <f>Данные!F75</f>
        <v>1</v>
      </c>
      <c r="I40" s="43">
        <f>Данные!G75</f>
        <v>1</v>
      </c>
      <c r="J40" s="43">
        <f>Данные!H75</f>
        <v>1</v>
      </c>
      <c r="K40" s="43">
        <f>Данные!I75</f>
        <v>1</v>
      </c>
      <c r="L40" s="43">
        <f>Данные!J75</f>
        <v>1</v>
      </c>
      <c r="M40" s="43">
        <f>Данные!K75</f>
        <v>1</v>
      </c>
    </row>
    <row r="41" spans="1:13" s="7" customFormat="1" ht="78.75">
      <c r="A41" s="14" t="s">
        <v>54</v>
      </c>
      <c r="B41" s="69" t="s">
        <v>3</v>
      </c>
      <c r="C41" s="70" t="s">
        <v>177</v>
      </c>
      <c r="D41" s="37">
        <f>F41</f>
        <v>0</v>
      </c>
      <c r="E41" s="37">
        <f t="shared" si="9"/>
        <v>1</v>
      </c>
      <c r="F41" s="37">
        <f t="shared" si="7"/>
        <v>0</v>
      </c>
      <c r="G41" s="37">
        <f t="shared" si="8"/>
        <v>1</v>
      </c>
      <c r="H41" s="43">
        <f>Данные!F76</f>
        <v>1</v>
      </c>
      <c r="I41" s="43">
        <f>Данные!G76</f>
        <v>0</v>
      </c>
      <c r="J41" s="43">
        <f>Данные!H76</f>
        <v>1</v>
      </c>
      <c r="K41" s="43">
        <f>Данные!I76</f>
        <v>0</v>
      </c>
      <c r="L41" s="43">
        <f>Данные!J76</f>
        <v>1</v>
      </c>
      <c r="M41" s="43">
        <f>Данные!K76</f>
        <v>1</v>
      </c>
    </row>
    <row r="42" spans="1:13" s="7" customFormat="1" ht="78.75">
      <c r="A42" s="14" t="s">
        <v>55</v>
      </c>
      <c r="B42" s="69" t="s">
        <v>4</v>
      </c>
      <c r="C42" s="70" t="s">
        <v>178</v>
      </c>
      <c r="D42" s="37">
        <f>F42</f>
        <v>1</v>
      </c>
      <c r="E42" s="37">
        <f t="shared" si="9"/>
        <v>1</v>
      </c>
      <c r="F42" s="37">
        <f t="shared" si="7"/>
        <v>1</v>
      </c>
      <c r="G42" s="37">
        <f t="shared" si="8"/>
        <v>1</v>
      </c>
      <c r="H42" s="43">
        <f>Данные!F77</f>
        <v>1</v>
      </c>
      <c r="I42" s="43">
        <f>Данные!G77</f>
        <v>1</v>
      </c>
      <c r="J42" s="43">
        <f>Данные!H77</f>
        <v>1</v>
      </c>
      <c r="K42" s="43">
        <f>Данные!I77</f>
        <v>1</v>
      </c>
      <c r="L42" s="43">
        <f>Данные!J77</f>
        <v>1</v>
      </c>
      <c r="M42" s="43">
        <f>Данные!K77</f>
        <v>1</v>
      </c>
    </row>
    <row r="43" spans="1:13" s="7" customFormat="1" ht="126">
      <c r="A43" s="14" t="s">
        <v>69</v>
      </c>
      <c r="B43" s="69" t="s">
        <v>109</v>
      </c>
      <c r="C43" s="70" t="s">
        <v>179</v>
      </c>
      <c r="D43" s="37">
        <f>F43</f>
        <v>0</v>
      </c>
      <c r="E43" s="37">
        <f>G43</f>
        <v>0</v>
      </c>
      <c r="F43" s="37">
        <f t="shared" si="7"/>
        <v>0</v>
      </c>
      <c r="G43" s="37">
        <f t="shared" si="8"/>
        <v>0</v>
      </c>
      <c r="H43" s="43">
        <f>Данные!F78</f>
        <v>0</v>
      </c>
      <c r="I43" s="43">
        <f>Данные!G78</f>
        <v>0</v>
      </c>
      <c r="J43" s="43">
        <f>Данные!H78</f>
        <v>0</v>
      </c>
      <c r="K43" s="43">
        <f>Данные!I78</f>
        <v>0</v>
      </c>
      <c r="L43" s="43">
        <f>Данные!J78</f>
        <v>0</v>
      </c>
      <c r="M43" s="43">
        <f>Данные!K78</f>
        <v>0</v>
      </c>
    </row>
    <row r="44" spans="1:13" s="7" customFormat="1" ht="94.5">
      <c r="A44" s="14" t="s">
        <v>70</v>
      </c>
      <c r="B44" s="69" t="s">
        <v>110</v>
      </c>
      <c r="C44" s="70" t="s">
        <v>71</v>
      </c>
      <c r="D44" s="37">
        <f t="shared" si="9"/>
        <v>0.9166666666666666</v>
      </c>
      <c r="E44" s="37">
        <f t="shared" si="9"/>
        <v>0.9166666666666666</v>
      </c>
      <c r="F44" s="37">
        <f t="shared" si="7"/>
        <v>0.9166666666666666</v>
      </c>
      <c r="G44" s="37">
        <f t="shared" si="8"/>
        <v>0.9166666666666666</v>
      </c>
      <c r="H44" s="43">
        <f>1-Данные!F79/12</f>
        <v>0.9166666666666666</v>
      </c>
      <c r="I44" s="43">
        <f>1-Данные!G79/12</f>
        <v>0.9166666666666666</v>
      </c>
      <c r="J44" s="43">
        <f>1-Данные!H79/12</f>
        <v>0.9166666666666666</v>
      </c>
      <c r="K44" s="43">
        <f>1-Данные!I79/12</f>
        <v>0.9166666666666666</v>
      </c>
      <c r="L44" s="43">
        <f>1-Данные!J79/12</f>
        <v>0.9166666666666666</v>
      </c>
      <c r="M44" s="43">
        <f>1-Данные!K79/12</f>
        <v>0.9166666666666666</v>
      </c>
    </row>
  </sheetData>
  <sheetProtection/>
  <mergeCells count="1">
    <mergeCell ref="C3:M3"/>
  </mergeCells>
  <printOptions/>
  <pageMargins left="0.15748031496062992" right="0.15748031496062992" top="0.2755905511811024" bottom="0.2362204724409449" header="0.15748031496062992" footer="0.15748031496062992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2:AB90"/>
  <sheetViews>
    <sheetView tabSelected="1" view="pageBreakPreview" zoomScaleNormal="75" zoomScaleSheetLayoutView="100" zoomScalePageLayoutView="0" workbookViewId="0" topLeftCell="B1">
      <pane xSplit="2" ySplit="5" topLeftCell="D29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32" sqref="F32:K32"/>
    </sheetView>
  </sheetViews>
  <sheetFormatPr defaultColWidth="9.140625" defaultRowHeight="15"/>
  <cols>
    <col min="1" max="1" width="6.421875" style="7" hidden="1" customWidth="1"/>
    <col min="2" max="2" width="61.421875" style="7" customWidth="1"/>
    <col min="3" max="3" width="9.57421875" style="53" customWidth="1"/>
    <col min="4" max="4" width="8.421875" style="7" customWidth="1"/>
    <col min="5" max="5" width="10.00390625" style="7" customWidth="1"/>
    <col min="6" max="6" width="16.00390625" style="58" bestFit="1" customWidth="1"/>
    <col min="7" max="7" width="13.140625" style="58" bestFit="1" customWidth="1"/>
    <col min="8" max="8" width="20.421875" style="58" bestFit="1" customWidth="1"/>
    <col min="9" max="9" width="18.7109375" style="58" bestFit="1" customWidth="1"/>
    <col min="10" max="10" width="14.00390625" style="58" customWidth="1"/>
    <col min="11" max="11" width="17.140625" style="58" customWidth="1"/>
    <col min="12" max="19" width="9.140625" style="7" customWidth="1"/>
    <col min="20" max="21" width="10.8515625" style="7" customWidth="1"/>
    <col min="22" max="22" width="12.00390625" style="7" customWidth="1"/>
    <col min="23" max="16384" width="9.140625" style="7" customWidth="1"/>
  </cols>
  <sheetData>
    <row r="2" spans="6:11" ht="33.75" customHeight="1">
      <c r="F2" s="207" t="s">
        <v>232</v>
      </c>
      <c r="G2" s="207"/>
      <c r="H2" s="207"/>
      <c r="I2" s="207"/>
      <c r="J2" s="207"/>
      <c r="K2" s="207"/>
    </row>
    <row r="3" spans="3:11" ht="15">
      <c r="C3" s="61"/>
      <c r="F3" s="61"/>
      <c r="G3" s="61"/>
      <c r="H3" s="61"/>
      <c r="I3" s="61"/>
      <c r="J3" s="61"/>
      <c r="K3" s="61"/>
    </row>
    <row r="4" spans="1:11" s="60" customFormat="1" ht="47.25">
      <c r="A4" s="9"/>
      <c r="B4" s="59" t="s">
        <v>79</v>
      </c>
      <c r="C4" s="59" t="s">
        <v>80</v>
      </c>
      <c r="D4" s="3" t="s">
        <v>20</v>
      </c>
      <c r="E4" s="3" t="s">
        <v>21</v>
      </c>
      <c r="F4" s="116" t="s">
        <v>182</v>
      </c>
      <c r="G4" s="116" t="s">
        <v>183</v>
      </c>
      <c r="H4" s="116" t="s">
        <v>184</v>
      </c>
      <c r="I4" s="116" t="s">
        <v>185</v>
      </c>
      <c r="J4" s="116" t="s">
        <v>186</v>
      </c>
      <c r="K4" s="116" t="s">
        <v>187</v>
      </c>
    </row>
    <row r="5" spans="1:11" s="60" customFormat="1" ht="15.75">
      <c r="A5" s="9"/>
      <c r="B5" s="101" t="s">
        <v>11</v>
      </c>
      <c r="C5" s="102"/>
      <c r="D5" s="101"/>
      <c r="E5" s="101"/>
      <c r="F5" s="103"/>
      <c r="G5" s="103"/>
      <c r="H5" s="103"/>
      <c r="I5" s="103"/>
      <c r="J5" s="103"/>
      <c r="K5" s="103"/>
    </row>
    <row r="6" spans="1:13" s="100" customFormat="1" ht="49.5" customHeight="1">
      <c r="A6" s="98">
        <v>1</v>
      </c>
      <c r="B6" s="157" t="s">
        <v>188</v>
      </c>
      <c r="C6" s="158" t="s">
        <v>22</v>
      </c>
      <c r="D6" s="159">
        <f>MIN(F6:K6)</f>
        <v>1</v>
      </c>
      <c r="E6" s="159">
        <f>MAX(F6:K6)</f>
        <v>1</v>
      </c>
      <c r="F6" s="159">
        <v>1</v>
      </c>
      <c r="G6" s="159">
        <v>1</v>
      </c>
      <c r="H6" s="159">
        <v>1</v>
      </c>
      <c r="I6" s="159">
        <v>1</v>
      </c>
      <c r="J6" s="159">
        <v>1</v>
      </c>
      <c r="K6" s="159">
        <v>1</v>
      </c>
      <c r="L6" s="176"/>
      <c r="M6" s="150"/>
    </row>
    <row r="7" spans="1:11" s="100" customFormat="1" ht="18" customHeight="1">
      <c r="A7" s="98">
        <v>3</v>
      </c>
      <c r="B7" s="186" t="s">
        <v>12</v>
      </c>
      <c r="C7" s="158" t="s">
        <v>23</v>
      </c>
      <c r="D7" s="159">
        <f>MIN(F7:K7)</f>
        <v>1</v>
      </c>
      <c r="E7" s="159">
        <f>MAX(F7:K7)</f>
        <v>1</v>
      </c>
      <c r="F7" s="184">
        <v>1</v>
      </c>
      <c r="G7" s="184">
        <v>1</v>
      </c>
      <c r="H7" s="184">
        <v>1</v>
      </c>
      <c r="I7" s="184">
        <v>1</v>
      </c>
      <c r="J7" s="184">
        <v>1</v>
      </c>
      <c r="K7" s="184">
        <v>1</v>
      </c>
    </row>
    <row r="8" spans="1:12" s="100" customFormat="1" ht="32.25" customHeight="1">
      <c r="A8" s="98"/>
      <c r="B8" s="157" t="s">
        <v>189</v>
      </c>
      <c r="C8" s="158" t="s">
        <v>24</v>
      </c>
      <c r="D8" s="160" t="e">
        <f>MIN(F8:K8)</f>
        <v>#DIV/0!</v>
      </c>
      <c r="E8" s="160" t="e">
        <f>MAX(F8:K8)</f>
        <v>#DIV/0!</v>
      </c>
      <c r="F8" s="161" t="e">
        <f>ABS(Данные!F11+Данные!F12-Данные!F9-Данные!F10)/(Данные!F9+Данные!F10)</f>
        <v>#DIV/0!</v>
      </c>
      <c r="G8" s="161" t="e">
        <f>ABS(Данные!G11+Данные!G12-Данные!G9-Данные!G10)/(Данные!G9+Данные!G10)</f>
        <v>#DIV/0!</v>
      </c>
      <c r="H8" s="161" t="e">
        <f>ABS(Данные!H11+Данные!H12-Данные!H9-Данные!H10)/(Данные!H9+Данные!H10)</f>
        <v>#DIV/0!</v>
      </c>
      <c r="I8" s="161" t="e">
        <f>ABS(Данные!I11+Данные!I12-Данные!I9-Данные!I10)/(Данные!I9+Данные!I10)</f>
        <v>#DIV/0!</v>
      </c>
      <c r="J8" s="161" t="e">
        <f>ABS(Данные!J11+Данные!J12-Данные!J9-Данные!J10)/(Данные!J9+Данные!J10)</f>
        <v>#DIV/0!</v>
      </c>
      <c r="K8" s="161" t="e">
        <f>ABS(Данные!K11+Данные!K12-Данные!K9-Данные!K10)/(Данные!K9+Данные!K10)</f>
        <v>#DIV/0!</v>
      </c>
      <c r="L8" s="176"/>
    </row>
    <row r="9" spans="1:11" ht="49.5" customHeight="1">
      <c r="A9" s="1">
        <v>7</v>
      </c>
      <c r="B9" s="91" t="s">
        <v>123</v>
      </c>
      <c r="C9" s="92" t="s">
        <v>24</v>
      </c>
      <c r="D9" s="99"/>
      <c r="E9" s="99"/>
      <c r="F9" s="121"/>
      <c r="G9" s="121"/>
      <c r="H9" s="121"/>
      <c r="I9" s="121"/>
      <c r="J9" s="121"/>
      <c r="K9" s="121"/>
    </row>
    <row r="10" spans="1:11" ht="38.25">
      <c r="A10" s="1">
        <v>8</v>
      </c>
      <c r="B10" s="91" t="s">
        <v>124</v>
      </c>
      <c r="C10" s="92" t="s">
        <v>24</v>
      </c>
      <c r="D10" s="99"/>
      <c r="E10" s="99"/>
      <c r="F10" s="121"/>
      <c r="G10" s="121"/>
      <c r="H10" s="121"/>
      <c r="I10" s="121"/>
      <c r="J10" s="121"/>
      <c r="K10" s="121"/>
    </row>
    <row r="11" spans="1:11" ht="25.5">
      <c r="A11" s="1">
        <v>11</v>
      </c>
      <c r="B11" s="91" t="s">
        <v>125</v>
      </c>
      <c r="C11" s="92" t="s">
        <v>24</v>
      </c>
      <c r="D11" s="99"/>
      <c r="E11" s="99"/>
      <c r="F11" s="121"/>
      <c r="G11" s="121"/>
      <c r="H11" s="121"/>
      <c r="I11" s="121"/>
      <c r="J11" s="121"/>
      <c r="K11" s="121"/>
    </row>
    <row r="12" spans="1:11" ht="25.5">
      <c r="A12" s="1">
        <v>12</v>
      </c>
      <c r="B12" s="91" t="s">
        <v>126</v>
      </c>
      <c r="C12" s="92" t="s">
        <v>24</v>
      </c>
      <c r="D12" s="99"/>
      <c r="E12" s="99"/>
      <c r="F12" s="121"/>
      <c r="G12" s="121"/>
      <c r="H12" s="121"/>
      <c r="I12" s="121"/>
      <c r="J12" s="121"/>
      <c r="K12" s="121"/>
    </row>
    <row r="13" spans="1:12" s="100" customFormat="1" ht="81" customHeight="1">
      <c r="A13" s="98">
        <v>2</v>
      </c>
      <c r="B13" s="157" t="s">
        <v>127</v>
      </c>
      <c r="C13" s="158" t="s">
        <v>25</v>
      </c>
      <c r="D13" s="159">
        <f>MIN(F13:K13)</f>
        <v>0</v>
      </c>
      <c r="E13" s="159">
        <f>MAX(F13:K13)</f>
        <v>1</v>
      </c>
      <c r="F13" s="173">
        <v>1</v>
      </c>
      <c r="G13" s="173">
        <v>1</v>
      </c>
      <c r="H13" s="173">
        <v>1</v>
      </c>
      <c r="I13" s="173">
        <v>1</v>
      </c>
      <c r="J13" s="185">
        <v>0</v>
      </c>
      <c r="K13" s="173">
        <v>0</v>
      </c>
      <c r="L13" s="135"/>
    </row>
    <row r="14" spans="1:12" s="100" customFormat="1" ht="77.25" customHeight="1">
      <c r="A14" s="98">
        <v>4</v>
      </c>
      <c r="B14" s="172" t="s">
        <v>220</v>
      </c>
      <c r="C14" s="158" t="s">
        <v>26</v>
      </c>
      <c r="D14" s="160">
        <f>MIN(F14:K14)</f>
        <v>96.31939353662965</v>
      </c>
      <c r="E14" s="160">
        <f>MAX(F14:K14)</f>
        <v>99.46841892855302</v>
      </c>
      <c r="F14" s="160">
        <f aca="true" t="shared" si="0" ref="F14:K14">F15/(F81-F16)*100</f>
        <v>99.46841892855302</v>
      </c>
      <c r="G14" s="160">
        <f t="shared" si="0"/>
        <v>98.02352728907333</v>
      </c>
      <c r="H14" s="160">
        <f t="shared" si="0"/>
        <v>99.26742544713849</v>
      </c>
      <c r="I14" s="160">
        <f t="shared" si="0"/>
        <v>96.31939353662965</v>
      </c>
      <c r="J14" s="160">
        <f t="shared" si="0"/>
        <v>97.8263512990674</v>
      </c>
      <c r="K14" s="160">
        <f t="shared" si="0"/>
        <v>97.52510211238042</v>
      </c>
      <c r="L14" s="136"/>
    </row>
    <row r="15" spans="1:19" ht="38.25">
      <c r="A15" s="1"/>
      <c r="B15" s="91" t="s">
        <v>128</v>
      </c>
      <c r="C15" s="92" t="s">
        <v>26</v>
      </c>
      <c r="D15" s="99"/>
      <c r="E15" s="99"/>
      <c r="F15" s="190">
        <v>111896.6</v>
      </c>
      <c r="G15" s="190">
        <v>126041.2</v>
      </c>
      <c r="H15" s="190">
        <v>22222.8</v>
      </c>
      <c r="I15" s="190">
        <v>56235.5</v>
      </c>
      <c r="J15" s="190">
        <v>26548.8</v>
      </c>
      <c r="K15" s="190">
        <v>19746.2</v>
      </c>
      <c r="L15" s="188"/>
      <c r="M15" s="208" t="s">
        <v>240</v>
      </c>
      <c r="N15" s="209"/>
      <c r="O15" s="209"/>
      <c r="P15" s="209"/>
      <c r="Q15" s="209"/>
      <c r="R15" s="209"/>
      <c r="S15" s="209"/>
    </row>
    <row r="16" spans="1:19" ht="76.5">
      <c r="A16" s="1"/>
      <c r="B16" s="91" t="s">
        <v>129</v>
      </c>
      <c r="C16" s="92" t="s">
        <v>26</v>
      </c>
      <c r="D16" s="99"/>
      <c r="E16" s="99"/>
      <c r="F16" s="190">
        <v>18306.9</v>
      </c>
      <c r="G16" s="190">
        <v>17571.3</v>
      </c>
      <c r="H16" s="190">
        <v>1263.5</v>
      </c>
      <c r="I16" s="190">
        <v>4340</v>
      </c>
      <c r="J16" s="190">
        <v>1470.9</v>
      </c>
      <c r="K16" s="190">
        <v>1069</v>
      </c>
      <c r="L16" s="188"/>
      <c r="M16" s="208" t="s">
        <v>241</v>
      </c>
      <c r="N16" s="209"/>
      <c r="O16" s="209"/>
      <c r="P16" s="209"/>
      <c r="Q16" s="209"/>
      <c r="R16" s="209"/>
      <c r="S16" s="209"/>
    </row>
    <row r="17" spans="1:12" s="100" customFormat="1" ht="90">
      <c r="A17" s="98">
        <v>5</v>
      </c>
      <c r="B17" s="177" t="s">
        <v>190</v>
      </c>
      <c r="C17" s="158" t="s">
        <v>27</v>
      </c>
      <c r="D17" s="159">
        <f>MIN(F17:K17)</f>
        <v>1</v>
      </c>
      <c r="E17" s="159">
        <f>MAX(F17:K17)</f>
        <v>1</v>
      </c>
      <c r="F17" s="159">
        <v>1</v>
      </c>
      <c r="G17" s="159">
        <v>1</v>
      </c>
      <c r="H17" s="159">
        <v>1</v>
      </c>
      <c r="I17" s="159">
        <v>1</v>
      </c>
      <c r="J17" s="159">
        <v>1</v>
      </c>
      <c r="K17" s="159">
        <v>1</v>
      </c>
      <c r="L17" s="137"/>
    </row>
    <row r="18" spans="1:12" s="100" customFormat="1" ht="15.75">
      <c r="A18" s="98"/>
      <c r="B18" s="104" t="s">
        <v>13</v>
      </c>
      <c r="C18" s="105"/>
      <c r="D18" s="106"/>
      <c r="E18" s="106"/>
      <c r="F18" s="107"/>
      <c r="G18" s="107"/>
      <c r="H18" s="107"/>
      <c r="I18" s="107"/>
      <c r="J18" s="107"/>
      <c r="K18" s="107"/>
      <c r="L18" s="136"/>
    </row>
    <row r="19" spans="1:12" s="100" customFormat="1" ht="30">
      <c r="A19" s="98">
        <v>6</v>
      </c>
      <c r="B19" s="162" t="s">
        <v>191</v>
      </c>
      <c r="C19" s="158" t="s">
        <v>32</v>
      </c>
      <c r="D19" s="159">
        <f>MIN(F19:K19)</f>
        <v>3</v>
      </c>
      <c r="E19" s="159">
        <f>MAX(F19:K19)</f>
        <v>6</v>
      </c>
      <c r="F19" s="159">
        <v>4</v>
      </c>
      <c r="G19" s="159">
        <v>5</v>
      </c>
      <c r="H19" s="159">
        <v>6</v>
      </c>
      <c r="I19" s="159">
        <v>4</v>
      </c>
      <c r="J19" s="159">
        <v>3</v>
      </c>
      <c r="K19" s="159">
        <v>4</v>
      </c>
      <c r="L19" s="136"/>
    </row>
    <row r="20" spans="1:12" s="100" customFormat="1" ht="45">
      <c r="A20" s="98">
        <v>13</v>
      </c>
      <c r="B20" s="163" t="s">
        <v>192</v>
      </c>
      <c r="C20" s="158" t="s">
        <v>33</v>
      </c>
      <c r="D20" s="160" t="e">
        <f>MIN(F20:K20)</f>
        <v>#DIV/0!</v>
      </c>
      <c r="E20" s="160" t="e">
        <f>MAX(F20:K20)</f>
        <v>#DIV/0!</v>
      </c>
      <c r="F20" s="160" t="e">
        <f aca="true" t="shared" si="1" ref="F20:K20">F21/F22*100</f>
        <v>#DIV/0!</v>
      </c>
      <c r="G20" s="160" t="e">
        <f t="shared" si="1"/>
        <v>#DIV/0!</v>
      </c>
      <c r="H20" s="160" t="e">
        <f t="shared" si="1"/>
        <v>#DIV/0!</v>
      </c>
      <c r="I20" s="160" t="e">
        <f t="shared" si="1"/>
        <v>#DIV/0!</v>
      </c>
      <c r="J20" s="160" t="e">
        <f t="shared" si="1"/>
        <v>#DIV/0!</v>
      </c>
      <c r="K20" s="160" t="e">
        <f t="shared" si="1"/>
        <v>#DIV/0!</v>
      </c>
      <c r="L20" s="176"/>
    </row>
    <row r="21" spans="1:11" ht="38.25">
      <c r="A21" s="1"/>
      <c r="B21" s="91" t="s">
        <v>130</v>
      </c>
      <c r="C21" s="92" t="s">
        <v>33</v>
      </c>
      <c r="D21" s="99"/>
      <c r="E21" s="99"/>
      <c r="F21" s="121"/>
      <c r="G21" s="121"/>
      <c r="H21" s="121"/>
      <c r="I21" s="121"/>
      <c r="J21" s="121"/>
      <c r="K21" s="121"/>
    </row>
    <row r="22" spans="1:11" ht="51">
      <c r="A22" s="1"/>
      <c r="B22" s="91" t="s">
        <v>131</v>
      </c>
      <c r="C22" s="92" t="s">
        <v>33</v>
      </c>
      <c r="D22" s="99"/>
      <c r="E22" s="99"/>
      <c r="F22" s="121"/>
      <c r="G22" s="121"/>
      <c r="H22" s="121"/>
      <c r="I22" s="121"/>
      <c r="J22" s="121"/>
      <c r="K22" s="121"/>
    </row>
    <row r="23" spans="1:12" s="100" customFormat="1" ht="30">
      <c r="A23" s="98">
        <v>14</v>
      </c>
      <c r="B23" s="162" t="s">
        <v>193</v>
      </c>
      <c r="C23" s="158" t="s">
        <v>34</v>
      </c>
      <c r="D23" s="160" t="e">
        <f>MIN(F23:K23)</f>
        <v>#DIV/0!</v>
      </c>
      <c r="E23" s="160" t="e">
        <f>MAX(F23:K23)</f>
        <v>#DIV/0!</v>
      </c>
      <c r="F23" s="160" t="e">
        <f aca="true" t="shared" si="2" ref="F23:K23">F24/F25*100</f>
        <v>#DIV/0!</v>
      </c>
      <c r="G23" s="160" t="e">
        <f t="shared" si="2"/>
        <v>#DIV/0!</v>
      </c>
      <c r="H23" s="160" t="e">
        <f t="shared" si="2"/>
        <v>#DIV/0!</v>
      </c>
      <c r="I23" s="160" t="e">
        <f t="shared" si="2"/>
        <v>#DIV/0!</v>
      </c>
      <c r="J23" s="160" t="e">
        <f t="shared" si="2"/>
        <v>#DIV/0!</v>
      </c>
      <c r="K23" s="160" t="e">
        <f t="shared" si="2"/>
        <v>#DIV/0!</v>
      </c>
      <c r="L23" s="176"/>
    </row>
    <row r="24" spans="1:11" ht="25.5">
      <c r="A24" s="1"/>
      <c r="B24" s="91" t="s">
        <v>126</v>
      </c>
      <c r="C24" s="92" t="s">
        <v>34</v>
      </c>
      <c r="D24" s="99"/>
      <c r="E24" s="99"/>
      <c r="F24" s="121"/>
      <c r="G24" s="121"/>
      <c r="H24" s="121"/>
      <c r="I24" s="121"/>
      <c r="J24" s="121"/>
      <c r="K24" s="121"/>
    </row>
    <row r="25" spans="1:11" ht="25.5">
      <c r="A25" s="1"/>
      <c r="B25" s="91" t="s">
        <v>132</v>
      </c>
      <c r="C25" s="92" t="s">
        <v>34</v>
      </c>
      <c r="D25" s="99"/>
      <c r="E25" s="99"/>
      <c r="F25" s="121"/>
      <c r="G25" s="121"/>
      <c r="H25" s="121"/>
      <c r="I25" s="121"/>
      <c r="J25" s="121"/>
      <c r="K25" s="121"/>
    </row>
    <row r="26" spans="1:11" s="100" customFormat="1" ht="30">
      <c r="A26" s="98">
        <v>15</v>
      </c>
      <c r="B26" s="162" t="s">
        <v>194</v>
      </c>
      <c r="C26" s="158" t="s">
        <v>35</v>
      </c>
      <c r="D26" s="160">
        <f>MIN(F26:K26)</f>
        <v>0</v>
      </c>
      <c r="E26" s="160">
        <f>MAX(F26:K26)</f>
        <v>20.323237883357606</v>
      </c>
      <c r="F26" s="160">
        <f aca="true" t="shared" si="3" ref="F26:K26">F27/F81*100</f>
        <v>20.323237883357606</v>
      </c>
      <c r="G26" s="160">
        <f t="shared" si="3"/>
        <v>0</v>
      </c>
      <c r="H26" s="160">
        <f t="shared" si="3"/>
        <v>0</v>
      </c>
      <c r="I26" s="160">
        <f t="shared" si="3"/>
        <v>0</v>
      </c>
      <c r="J26" s="160">
        <f t="shared" si="3"/>
        <v>0</v>
      </c>
      <c r="K26" s="160">
        <f t="shared" si="3"/>
        <v>0</v>
      </c>
    </row>
    <row r="27" spans="1:12" ht="25.5">
      <c r="A27" s="1"/>
      <c r="B27" s="91" t="s">
        <v>133</v>
      </c>
      <c r="C27" s="92" t="s">
        <v>35</v>
      </c>
      <c r="D27" s="99"/>
      <c r="E27" s="99"/>
      <c r="F27" s="189">
        <f>19939.1+6644</f>
        <v>26583.1</v>
      </c>
      <c r="G27" s="94"/>
      <c r="H27" s="121"/>
      <c r="I27" s="94"/>
      <c r="J27" s="94"/>
      <c r="K27" s="94"/>
      <c r="L27" s="7" t="s">
        <v>248</v>
      </c>
    </row>
    <row r="28" spans="1:17" s="100" customFormat="1" ht="75">
      <c r="A28" s="98"/>
      <c r="B28" s="163" t="s">
        <v>195</v>
      </c>
      <c r="C28" s="158" t="s">
        <v>36</v>
      </c>
      <c r="D28" s="160">
        <f>MIN(F28:K28)</f>
        <v>0.6816771377708543</v>
      </c>
      <c r="E28" s="160">
        <f>MAX(F28:K28)</f>
        <v>1.3610407055824836</v>
      </c>
      <c r="F28" s="160">
        <f>_xlfn.IFERROR(Данные!F38/AVERAGE(Данные!F29,Данные!F32,Данные!F35),0)</f>
        <v>1.3610407055824836</v>
      </c>
      <c r="G28" s="160">
        <f>_xlfn.IFERROR(Данные!G38/AVERAGE(Данные!G29,Данные!G32,Данные!G35),0)</f>
        <v>0.6816771377708543</v>
      </c>
      <c r="H28" s="160">
        <f>_xlfn.IFERROR(Данные!H38/AVERAGE(Данные!H29,Данные!H32,Данные!H35),0)</f>
        <v>1.2756902356902355</v>
      </c>
      <c r="I28" s="160">
        <f>_xlfn.IFERROR(Данные!I38/AVERAGE(Данные!I29,Данные!I32,Данные!I35),0)</f>
        <v>0.8857065863298416</v>
      </c>
      <c r="J28" s="160">
        <f>_xlfn.IFERROR(Данные!J38/AVERAGE(Данные!J29,Данные!J32,Данные!J35),0)</f>
        <v>0.9833556724748435</v>
      </c>
      <c r="K28" s="160">
        <f>_xlfn.IFERROR(Данные!K38/AVERAGE(Данные!K29,Данные!K32,Данные!K35),0)</f>
        <v>0.8039833343854556</v>
      </c>
      <c r="L28" s="180"/>
      <c r="M28" s="180"/>
      <c r="N28" s="180"/>
      <c r="O28" s="180"/>
      <c r="P28" s="180"/>
      <c r="Q28" s="180"/>
    </row>
    <row r="29" spans="1:18" ht="65.25" customHeight="1">
      <c r="A29" s="1">
        <v>16</v>
      </c>
      <c r="B29" s="91" t="s">
        <v>134</v>
      </c>
      <c r="C29" s="92" t="s">
        <v>36</v>
      </c>
      <c r="D29" s="99"/>
      <c r="E29" s="99"/>
      <c r="F29" s="190">
        <v>20825.5</v>
      </c>
      <c r="G29" s="190">
        <v>25694.5</v>
      </c>
      <c r="H29" s="190">
        <v>4149.8</v>
      </c>
      <c r="I29" s="190">
        <v>10489.6</v>
      </c>
      <c r="J29" s="190">
        <v>5414.5</v>
      </c>
      <c r="K29" s="190">
        <v>3846.6</v>
      </c>
      <c r="L29" s="174"/>
      <c r="M29" s="210" t="s">
        <v>242</v>
      </c>
      <c r="N29" s="210"/>
      <c r="O29" s="210"/>
      <c r="P29" s="210"/>
      <c r="Q29" s="210"/>
      <c r="R29" s="210"/>
    </row>
    <row r="30" spans="1:11" ht="25.5">
      <c r="A30" s="1"/>
      <c r="B30" s="91" t="s">
        <v>135</v>
      </c>
      <c r="C30" s="92" t="s">
        <v>36</v>
      </c>
      <c r="D30" s="99"/>
      <c r="E30" s="99"/>
      <c r="F30" s="190">
        <v>22003.3</v>
      </c>
      <c r="G30" s="190">
        <v>26582.6</v>
      </c>
      <c r="H30" s="190">
        <v>4149.8</v>
      </c>
      <c r="I30" s="190">
        <v>11412.9</v>
      </c>
      <c r="J30" s="190">
        <v>5414.5</v>
      </c>
      <c r="K30" s="190">
        <v>3858.6</v>
      </c>
    </row>
    <row r="31" spans="1:25" ht="51">
      <c r="A31" s="1"/>
      <c r="B31" s="91" t="s">
        <v>136</v>
      </c>
      <c r="C31" s="92" t="s">
        <v>36</v>
      </c>
      <c r="D31" s="99"/>
      <c r="E31" s="99"/>
      <c r="F31" s="190">
        <f aca="true" t="shared" si="4" ref="F31:K31">F30-F29</f>
        <v>1177.7999999999993</v>
      </c>
      <c r="G31" s="190">
        <f t="shared" si="4"/>
        <v>888.0999999999985</v>
      </c>
      <c r="H31" s="190">
        <f t="shared" si="4"/>
        <v>0</v>
      </c>
      <c r="I31" s="190">
        <f t="shared" si="4"/>
        <v>923.2999999999993</v>
      </c>
      <c r="J31" s="190">
        <f t="shared" si="4"/>
        <v>0</v>
      </c>
      <c r="K31" s="190">
        <f t="shared" si="4"/>
        <v>12</v>
      </c>
      <c r="L31" s="181"/>
      <c r="M31" s="181"/>
      <c r="N31" s="181"/>
      <c r="O31" s="181"/>
      <c r="P31" s="181"/>
      <c r="Q31" s="181"/>
      <c r="R31" s="182"/>
      <c r="U31" s="149"/>
      <c r="V31" s="149"/>
      <c r="W31" s="149"/>
      <c r="X31" s="149"/>
      <c r="Y31" s="149"/>
    </row>
    <row r="32" spans="1:28" ht="63.75">
      <c r="A32" s="1">
        <v>17</v>
      </c>
      <c r="B32" s="91" t="s">
        <v>137</v>
      </c>
      <c r="C32" s="92" t="s">
        <v>36</v>
      </c>
      <c r="D32" s="99"/>
      <c r="E32" s="99"/>
      <c r="F32" s="190">
        <v>23572.4</v>
      </c>
      <c r="G32" s="190">
        <v>44184.2</v>
      </c>
      <c r="H32" s="190">
        <v>5641.3</v>
      </c>
      <c r="I32" s="190">
        <v>13200.3</v>
      </c>
      <c r="J32" s="190">
        <v>8056.6</v>
      </c>
      <c r="K32" s="190">
        <v>5806.9</v>
      </c>
      <c r="L32" s="174"/>
      <c r="M32" s="206" t="s">
        <v>242</v>
      </c>
      <c r="N32" s="206"/>
      <c r="O32" s="206"/>
      <c r="P32" s="206"/>
      <c r="Q32" s="206"/>
      <c r="R32" s="206"/>
      <c r="T32" s="149"/>
      <c r="U32" s="149"/>
      <c r="V32" s="149"/>
      <c r="W32" s="149"/>
      <c r="X32" s="149"/>
      <c r="Y32" s="149"/>
      <c r="Z32" s="149"/>
      <c r="AA32" s="149"/>
      <c r="AB32" s="149"/>
    </row>
    <row r="33" spans="1:18" ht="25.5">
      <c r="A33" s="1"/>
      <c r="B33" s="91" t="s">
        <v>138</v>
      </c>
      <c r="C33" s="92" t="s">
        <v>36</v>
      </c>
      <c r="D33" s="99"/>
      <c r="E33" s="99"/>
      <c r="F33" s="190">
        <v>28283.8</v>
      </c>
      <c r="G33" s="190">
        <v>46548.3</v>
      </c>
      <c r="H33" s="190">
        <v>5700.6</v>
      </c>
      <c r="I33" s="190">
        <v>15143.4</v>
      </c>
      <c r="J33" s="190">
        <v>8534.8</v>
      </c>
      <c r="K33" s="190">
        <v>5969.5</v>
      </c>
      <c r="M33" s="148"/>
      <c r="N33" s="148"/>
      <c r="O33" s="148"/>
      <c r="P33" s="148"/>
      <c r="Q33" s="148"/>
      <c r="R33" s="148"/>
    </row>
    <row r="34" spans="1:18" ht="51">
      <c r="A34" s="1"/>
      <c r="B34" s="91" t="s">
        <v>139</v>
      </c>
      <c r="C34" s="92" t="s">
        <v>36</v>
      </c>
      <c r="D34" s="99"/>
      <c r="E34" s="99"/>
      <c r="F34" s="190">
        <f aca="true" t="shared" si="5" ref="F34:K34">F33-F32</f>
        <v>4711.399999999998</v>
      </c>
      <c r="G34" s="190">
        <f t="shared" si="5"/>
        <v>2364.100000000006</v>
      </c>
      <c r="H34" s="190">
        <f t="shared" si="5"/>
        <v>59.30000000000018</v>
      </c>
      <c r="I34" s="190">
        <f t="shared" si="5"/>
        <v>1943.1000000000004</v>
      </c>
      <c r="J34" s="190">
        <f t="shared" si="5"/>
        <v>478.1999999999989</v>
      </c>
      <c r="K34" s="190">
        <f t="shared" si="5"/>
        <v>162.60000000000036</v>
      </c>
      <c r="M34" s="148"/>
      <c r="N34" s="148"/>
      <c r="O34" s="148"/>
      <c r="P34" s="148"/>
      <c r="Q34" s="148"/>
      <c r="R34" s="148"/>
    </row>
    <row r="35" spans="1:18" ht="63.75">
      <c r="A35" s="1">
        <v>18</v>
      </c>
      <c r="B35" s="91" t="s">
        <v>140</v>
      </c>
      <c r="C35" s="92" t="s">
        <v>36</v>
      </c>
      <c r="D35" s="99"/>
      <c r="E35" s="99"/>
      <c r="F35" s="190">
        <v>32576.8</v>
      </c>
      <c r="G35" s="190">
        <v>33087.2</v>
      </c>
      <c r="H35" s="190">
        <v>5801.4</v>
      </c>
      <c r="I35" s="190">
        <v>19727.3</v>
      </c>
      <c r="J35" s="190">
        <v>6523.7</v>
      </c>
      <c r="K35" s="190">
        <v>6187.5</v>
      </c>
      <c r="L35" s="174"/>
      <c r="M35" s="206" t="s">
        <v>242</v>
      </c>
      <c r="N35" s="206"/>
      <c r="O35" s="206"/>
      <c r="P35" s="206"/>
      <c r="Q35" s="206"/>
      <c r="R35" s="206"/>
    </row>
    <row r="36" spans="1:18" ht="25.5">
      <c r="A36" s="1"/>
      <c r="B36" s="91" t="s">
        <v>141</v>
      </c>
      <c r="C36" s="92" t="s">
        <v>36</v>
      </c>
      <c r="D36" s="99"/>
      <c r="E36" s="99"/>
      <c r="F36" s="190">
        <v>33508.4</v>
      </c>
      <c r="G36" s="190">
        <v>37064.4</v>
      </c>
      <c r="H36" s="190">
        <v>5917.9</v>
      </c>
      <c r="I36" s="190">
        <v>21318.9</v>
      </c>
      <c r="J36" s="190">
        <v>7303.3</v>
      </c>
      <c r="K36" s="190">
        <v>6479.2</v>
      </c>
      <c r="M36" s="148"/>
      <c r="N36" s="148"/>
      <c r="O36" s="148"/>
      <c r="P36" s="148"/>
      <c r="Q36" s="148"/>
      <c r="R36" s="148"/>
    </row>
    <row r="37" spans="1:18" ht="51">
      <c r="A37" s="1"/>
      <c r="B37" s="91" t="s">
        <v>142</v>
      </c>
      <c r="C37" s="92" t="s">
        <v>36</v>
      </c>
      <c r="D37" s="99"/>
      <c r="E37" s="99"/>
      <c r="F37" s="190">
        <f aca="true" t="shared" si="6" ref="F37:K37">F36-F35</f>
        <v>931.6000000000022</v>
      </c>
      <c r="G37" s="190">
        <f t="shared" si="6"/>
        <v>3977.2000000000044</v>
      </c>
      <c r="H37" s="190">
        <f t="shared" si="6"/>
        <v>116.5</v>
      </c>
      <c r="I37" s="190">
        <f t="shared" si="6"/>
        <v>1591.6000000000022</v>
      </c>
      <c r="J37" s="190">
        <f t="shared" si="6"/>
        <v>779.6000000000004</v>
      </c>
      <c r="K37" s="190">
        <f t="shared" si="6"/>
        <v>291.6999999999998</v>
      </c>
      <c r="M37" s="148"/>
      <c r="N37" s="148"/>
      <c r="O37" s="148"/>
      <c r="P37" s="148"/>
      <c r="Q37" s="148"/>
      <c r="R37" s="148"/>
    </row>
    <row r="38" spans="1:18" ht="63.75">
      <c r="A38" s="1">
        <v>19</v>
      </c>
      <c r="B38" s="91" t="s">
        <v>143</v>
      </c>
      <c r="C38" s="92" t="s">
        <v>36</v>
      </c>
      <c r="D38" s="99"/>
      <c r="E38" s="99"/>
      <c r="F38" s="190">
        <v>34921.9</v>
      </c>
      <c r="G38" s="190">
        <v>23396.5</v>
      </c>
      <c r="H38" s="190">
        <v>6630.4</v>
      </c>
      <c r="I38" s="190">
        <v>12818.3</v>
      </c>
      <c r="J38" s="190">
        <v>6554</v>
      </c>
      <c r="K38" s="190">
        <v>4245.3</v>
      </c>
      <c r="L38" s="174"/>
      <c r="M38" s="206" t="s">
        <v>242</v>
      </c>
      <c r="N38" s="206"/>
      <c r="O38" s="206"/>
      <c r="P38" s="206"/>
      <c r="Q38" s="206"/>
      <c r="R38" s="206"/>
    </row>
    <row r="39" spans="1:18" ht="25.5">
      <c r="A39" s="1"/>
      <c r="B39" s="91" t="s">
        <v>144</v>
      </c>
      <c r="C39" s="92" t="s">
        <v>36</v>
      </c>
      <c r="D39" s="99"/>
      <c r="E39" s="99"/>
      <c r="F39" s="190">
        <v>47006</v>
      </c>
      <c r="G39" s="190">
        <v>35958.6</v>
      </c>
      <c r="H39" s="190">
        <v>7882</v>
      </c>
      <c r="I39" s="190">
        <v>14849.2</v>
      </c>
      <c r="J39" s="190">
        <v>7357</v>
      </c>
      <c r="K39" s="190">
        <v>5009</v>
      </c>
      <c r="M39" s="206"/>
      <c r="N39" s="206"/>
      <c r="O39" s="206"/>
      <c r="P39" s="206"/>
      <c r="Q39" s="206"/>
      <c r="R39" s="206"/>
    </row>
    <row r="40" spans="1:11" ht="51">
      <c r="A40" s="1"/>
      <c r="B40" s="91" t="s">
        <v>145</v>
      </c>
      <c r="C40" s="92" t="s">
        <v>36</v>
      </c>
      <c r="D40" s="99"/>
      <c r="E40" s="99"/>
      <c r="F40" s="190">
        <f aca="true" t="shared" si="7" ref="F40:K40">F39-F38</f>
        <v>12084.099999999999</v>
      </c>
      <c r="G40" s="190">
        <f t="shared" si="7"/>
        <v>12562.099999999999</v>
      </c>
      <c r="H40" s="190">
        <f t="shared" si="7"/>
        <v>1251.6000000000004</v>
      </c>
      <c r="I40" s="190">
        <f t="shared" si="7"/>
        <v>2030.9000000000015</v>
      </c>
      <c r="J40" s="190">
        <f t="shared" si="7"/>
        <v>803</v>
      </c>
      <c r="K40" s="190">
        <f t="shared" si="7"/>
        <v>763.6999999999998</v>
      </c>
    </row>
    <row r="41" spans="1:11" s="100" customFormat="1" ht="94.5">
      <c r="A41" s="98">
        <v>20</v>
      </c>
      <c r="B41" s="168" t="s">
        <v>196</v>
      </c>
      <c r="C41" s="158" t="s">
        <v>37</v>
      </c>
      <c r="D41" s="160">
        <f>MIN(F41:K41)</f>
        <v>0</v>
      </c>
      <c r="E41" s="160">
        <f>MAX(F41:K41)</f>
        <v>0.15008390576560668</v>
      </c>
      <c r="F41" s="160">
        <f aca="true" t="shared" si="8" ref="F41:K41">F42/F81</f>
        <v>0.15008390576560668</v>
      </c>
      <c r="G41" s="160">
        <f t="shared" si="8"/>
        <v>0.04276177371934653</v>
      </c>
      <c r="H41" s="160">
        <f t="shared" si="8"/>
        <v>0</v>
      </c>
      <c r="I41" s="160">
        <f t="shared" si="8"/>
        <v>0.04848511902863957</v>
      </c>
      <c r="J41" s="160">
        <f t="shared" si="8"/>
        <v>0</v>
      </c>
      <c r="K41" s="160">
        <f t="shared" si="8"/>
        <v>0</v>
      </c>
    </row>
    <row r="42" spans="1:13" ht="90">
      <c r="A42" s="1"/>
      <c r="B42" s="130" t="s">
        <v>146</v>
      </c>
      <c r="C42" s="92" t="s">
        <v>37</v>
      </c>
      <c r="D42" s="99"/>
      <c r="E42" s="99"/>
      <c r="F42" s="190">
        <v>19631.2</v>
      </c>
      <c r="G42" s="190">
        <v>6249.8</v>
      </c>
      <c r="H42" s="190">
        <v>0</v>
      </c>
      <c r="I42" s="190">
        <v>3041.2</v>
      </c>
      <c r="J42" s="190">
        <v>0</v>
      </c>
      <c r="K42" s="190">
        <v>0</v>
      </c>
      <c r="L42" s="174"/>
      <c r="M42" s="7" t="s">
        <v>247</v>
      </c>
    </row>
    <row r="43" spans="1:18" s="100" customFormat="1" ht="45">
      <c r="A43" s="98">
        <v>21</v>
      </c>
      <c r="B43" s="162" t="s">
        <v>197</v>
      </c>
      <c r="C43" s="158" t="s">
        <v>38</v>
      </c>
      <c r="D43" s="173">
        <f>MIN(F43:K43)</f>
        <v>0</v>
      </c>
      <c r="E43" s="173">
        <f>MAX(F43:K43)</f>
        <v>0</v>
      </c>
      <c r="F43" s="173">
        <f aca="true" t="shared" si="9" ref="F43:K43">F44/F81</f>
        <v>0</v>
      </c>
      <c r="G43" s="173">
        <f t="shared" si="9"/>
        <v>0</v>
      </c>
      <c r="H43" s="173">
        <f t="shared" si="9"/>
        <v>0</v>
      </c>
      <c r="I43" s="173">
        <f t="shared" si="9"/>
        <v>0</v>
      </c>
      <c r="J43" s="173">
        <f t="shared" si="9"/>
        <v>0</v>
      </c>
      <c r="K43" s="173">
        <f t="shared" si="9"/>
        <v>0</v>
      </c>
      <c r="M43" s="7"/>
      <c r="N43" s="7"/>
      <c r="O43" s="7"/>
      <c r="P43" s="7"/>
      <c r="Q43" s="7"/>
      <c r="R43" s="7"/>
    </row>
    <row r="44" spans="1:11" ht="45">
      <c r="A44" s="1"/>
      <c r="B44" s="130" t="s">
        <v>147</v>
      </c>
      <c r="C44" s="92" t="s">
        <v>38</v>
      </c>
      <c r="D44" s="99"/>
      <c r="E44" s="99"/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</row>
    <row r="45" spans="1:11" ht="31.5">
      <c r="A45" s="1">
        <v>22</v>
      </c>
      <c r="B45" s="170" t="s">
        <v>198</v>
      </c>
      <c r="C45" s="158" t="s">
        <v>39</v>
      </c>
      <c r="D45" s="159">
        <f>MIN(F45:K45)</f>
        <v>0</v>
      </c>
      <c r="E45" s="159">
        <f>MAX(F45:K45)</f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</row>
    <row r="46" spans="1:13" ht="27">
      <c r="A46" s="1">
        <v>23</v>
      </c>
      <c r="B46" s="164" t="s">
        <v>199</v>
      </c>
      <c r="C46" s="158" t="s">
        <v>40</v>
      </c>
      <c r="D46" s="159">
        <f>MIN(F46:K46)</f>
        <v>0</v>
      </c>
      <c r="E46" s="159">
        <f>MAX(F46:K46)</f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74"/>
      <c r="M46" s="7" t="s">
        <v>243</v>
      </c>
    </row>
    <row r="47" spans="1:11" ht="60">
      <c r="A47" s="1">
        <v>24</v>
      </c>
      <c r="B47" s="157" t="s">
        <v>200</v>
      </c>
      <c r="C47" s="158" t="s">
        <v>41</v>
      </c>
      <c r="D47" s="159">
        <f>MIN(F47:K47)</f>
        <v>0</v>
      </c>
      <c r="E47" s="159">
        <f>MAX(F47:K47)</f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</row>
    <row r="48" spans="1:11" ht="15.75">
      <c r="A48" s="1"/>
      <c r="B48" s="108" t="s">
        <v>15</v>
      </c>
      <c r="C48" s="105"/>
      <c r="D48" s="106"/>
      <c r="E48" s="106"/>
      <c r="F48" s="109"/>
      <c r="G48" s="109"/>
      <c r="H48" s="109"/>
      <c r="I48" s="109"/>
      <c r="J48" s="109"/>
      <c r="K48" s="109"/>
    </row>
    <row r="49" spans="1:11" ht="35.25" customHeight="1">
      <c r="A49" s="1">
        <v>26</v>
      </c>
      <c r="B49" s="170" t="s">
        <v>201</v>
      </c>
      <c r="C49" s="158" t="s">
        <v>42</v>
      </c>
      <c r="D49" s="173">
        <f>MIN(F49:K49)</f>
        <v>0</v>
      </c>
      <c r="E49" s="173">
        <f>MAX(F49:K49)</f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</row>
    <row r="50" spans="1:11" ht="33" customHeight="1">
      <c r="A50" s="1"/>
      <c r="B50" s="183" t="s">
        <v>202</v>
      </c>
      <c r="C50" s="158" t="s">
        <v>43</v>
      </c>
      <c r="D50" s="173">
        <f>MIN(F50:K50)</f>
        <v>0</v>
      </c>
      <c r="E50" s="173">
        <f>MAX(F50:K50)</f>
        <v>0</v>
      </c>
      <c r="F50" s="173">
        <f>_xlfn.IFERROR(Данные!F51/Данные!F52,0)</f>
        <v>0</v>
      </c>
      <c r="G50" s="173">
        <f>_xlfn.IFERROR(Данные!G51/Данные!G52,0)</f>
        <v>0</v>
      </c>
      <c r="H50" s="173">
        <f>_xlfn.IFERROR(Данные!H51/Данные!H52,0)</f>
        <v>0</v>
      </c>
      <c r="I50" s="173">
        <f>_xlfn.IFERROR(Данные!I51/Данные!I52,0)</f>
        <v>0</v>
      </c>
      <c r="J50" s="173">
        <f>_xlfn.IFERROR(Данные!J51/Данные!J52,0)</f>
        <v>0</v>
      </c>
      <c r="K50" s="173">
        <f>_xlfn.IFERROR(Данные!K51/Данные!K52,0)</f>
        <v>0</v>
      </c>
    </row>
    <row r="51" spans="1:11" ht="30">
      <c r="A51" s="1"/>
      <c r="B51" s="130" t="s">
        <v>120</v>
      </c>
      <c r="C51" s="92" t="s">
        <v>43</v>
      </c>
      <c r="D51" s="99"/>
      <c r="E51" s="99"/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</row>
    <row r="52" spans="1:11" ht="45">
      <c r="A52" s="1"/>
      <c r="B52" s="130" t="s">
        <v>121</v>
      </c>
      <c r="C52" s="92" t="s">
        <v>43</v>
      </c>
      <c r="D52" s="99"/>
      <c r="E52" s="99"/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</row>
    <row r="53" spans="1:12" ht="24" customHeight="1">
      <c r="A53" s="1"/>
      <c r="B53" s="162" t="s">
        <v>102</v>
      </c>
      <c r="C53" s="158" t="s">
        <v>104</v>
      </c>
      <c r="D53" s="160">
        <f>MIN(F53:K53)</f>
        <v>0</v>
      </c>
      <c r="E53" s="160">
        <f>MAX(F53:K53)</f>
        <v>0</v>
      </c>
      <c r="F53" s="160">
        <f>_xlfn.IFERROR(Данные!F54/(Данные!F55),0)</f>
        <v>0</v>
      </c>
      <c r="G53" s="160">
        <f>_xlfn.IFERROR(Данные!G54/(Данные!G55),0)</f>
        <v>0</v>
      </c>
      <c r="H53" s="160">
        <f>_xlfn.IFERROR(Данные!H54/(Данные!H55),0)</f>
        <v>0</v>
      </c>
      <c r="I53" s="160">
        <f>_xlfn.IFERROR(Данные!I54/(Данные!I55),0)</f>
        <v>0</v>
      </c>
      <c r="J53" s="160">
        <f>_xlfn.IFERROR(Данные!J54/(Данные!J55),0)</f>
        <v>0</v>
      </c>
      <c r="K53" s="160">
        <f>_xlfn.IFERROR(Данные!K54/(Данные!K55),0)</f>
        <v>0</v>
      </c>
      <c r="L53" s="174"/>
    </row>
    <row r="54" spans="1:11" ht="30">
      <c r="A54" s="1">
        <v>25</v>
      </c>
      <c r="B54" s="130" t="s">
        <v>122</v>
      </c>
      <c r="C54" s="92" t="s">
        <v>104</v>
      </c>
      <c r="D54" s="99"/>
      <c r="E54" s="99"/>
      <c r="F54" s="121"/>
      <c r="G54" s="121"/>
      <c r="H54" s="121"/>
      <c r="I54" s="121"/>
      <c r="J54" s="121"/>
      <c r="K54" s="121"/>
    </row>
    <row r="55" spans="1:12" ht="45">
      <c r="A55" s="1"/>
      <c r="B55" s="130" t="s">
        <v>153</v>
      </c>
      <c r="C55" s="92" t="s">
        <v>104</v>
      </c>
      <c r="D55" s="99"/>
      <c r="E55" s="99"/>
      <c r="F55" s="121"/>
      <c r="G55" s="121"/>
      <c r="H55" s="121"/>
      <c r="I55" s="121"/>
      <c r="J55" s="121"/>
      <c r="K55" s="121"/>
      <c r="L55" s="133"/>
    </row>
    <row r="56" spans="1:11" s="112" customFormat="1" ht="15.75">
      <c r="A56" s="110"/>
      <c r="B56" s="101" t="s">
        <v>16</v>
      </c>
      <c r="C56" s="105"/>
      <c r="D56" s="111"/>
      <c r="E56" s="111"/>
      <c r="F56" s="111"/>
      <c r="G56" s="111"/>
      <c r="H56" s="111"/>
      <c r="I56" s="111"/>
      <c r="J56" s="111"/>
      <c r="K56" s="111"/>
    </row>
    <row r="57" spans="1:13" s="100" customFormat="1" ht="90">
      <c r="A57" s="98">
        <v>27</v>
      </c>
      <c r="B57" s="157" t="s">
        <v>203</v>
      </c>
      <c r="C57" s="158" t="s">
        <v>44</v>
      </c>
      <c r="D57" s="159">
        <f>MIN(F57:K57)</f>
        <v>1</v>
      </c>
      <c r="E57" s="159">
        <f>MAX(F57:K57)</f>
        <v>1</v>
      </c>
      <c r="F57" s="159">
        <v>1</v>
      </c>
      <c r="G57" s="165">
        <v>1</v>
      </c>
      <c r="H57" s="159">
        <v>1</v>
      </c>
      <c r="I57" s="159">
        <v>1</v>
      </c>
      <c r="J57" s="159">
        <v>1</v>
      </c>
      <c r="K57" s="159">
        <v>1</v>
      </c>
      <c r="L57" s="176"/>
      <c r="M57" s="150" t="s">
        <v>246</v>
      </c>
    </row>
    <row r="58" spans="1:11" s="100" customFormat="1" ht="57.75" customHeight="1">
      <c r="A58" s="98">
        <v>28</v>
      </c>
      <c r="B58" s="157" t="s">
        <v>148</v>
      </c>
      <c r="C58" s="158" t="s">
        <v>45</v>
      </c>
      <c r="D58" s="159">
        <f>MIN(F58:K58)</f>
        <v>0</v>
      </c>
      <c r="E58" s="159">
        <f>MAX(F58:K58)</f>
        <v>1</v>
      </c>
      <c r="F58" s="159">
        <v>1</v>
      </c>
      <c r="G58" s="165">
        <v>1</v>
      </c>
      <c r="H58" s="159">
        <v>0</v>
      </c>
      <c r="I58" s="159">
        <v>1</v>
      </c>
      <c r="J58" s="159">
        <v>1</v>
      </c>
      <c r="K58" s="159">
        <v>1</v>
      </c>
    </row>
    <row r="59" spans="1:11" s="100" customFormat="1" ht="64.5" customHeight="1">
      <c r="A59" s="98">
        <v>29</v>
      </c>
      <c r="B59" s="170" t="s">
        <v>149</v>
      </c>
      <c r="C59" s="158" t="s">
        <v>46</v>
      </c>
      <c r="D59" s="159">
        <f>MIN(F59:K59)</f>
        <v>0</v>
      </c>
      <c r="E59" s="159">
        <f>MAX(F59:K59)</f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</row>
    <row r="60" spans="1:11" s="100" customFormat="1" ht="75">
      <c r="A60" s="98">
        <v>30</v>
      </c>
      <c r="B60" s="177" t="s">
        <v>204</v>
      </c>
      <c r="C60" s="158" t="s">
        <v>47</v>
      </c>
      <c r="D60" s="160">
        <f>MIN(F60:K60)</f>
        <v>0</v>
      </c>
      <c r="E60" s="160">
        <f>MAX(F60:K60)</f>
        <v>0</v>
      </c>
      <c r="F60" s="160">
        <f aca="true" t="shared" si="10" ref="F60:K60">F61/F62</f>
        <v>0</v>
      </c>
      <c r="G60" s="160">
        <f t="shared" si="10"/>
        <v>0</v>
      </c>
      <c r="H60" s="160">
        <f t="shared" si="10"/>
        <v>0</v>
      </c>
      <c r="I60" s="160">
        <f t="shared" si="10"/>
        <v>0</v>
      </c>
      <c r="J60" s="160">
        <f t="shared" si="10"/>
        <v>0</v>
      </c>
      <c r="K60" s="160">
        <f t="shared" si="10"/>
        <v>0</v>
      </c>
    </row>
    <row r="61" spans="1:11" ht="85.5" customHeight="1">
      <c r="A61" s="1"/>
      <c r="B61" s="130" t="s">
        <v>150</v>
      </c>
      <c r="C61" s="92" t="s">
        <v>47</v>
      </c>
      <c r="D61" s="99"/>
      <c r="E61" s="99"/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</row>
    <row r="62" spans="1:13" ht="45">
      <c r="A62" s="1"/>
      <c r="B62" s="130" t="s">
        <v>151</v>
      </c>
      <c r="C62" s="92" t="s">
        <v>47</v>
      </c>
      <c r="D62" s="99"/>
      <c r="E62" s="99"/>
      <c r="F62" s="190">
        <v>6769.7</v>
      </c>
      <c r="G62" s="190">
        <v>55392.9</v>
      </c>
      <c r="H62" s="190">
        <v>6472</v>
      </c>
      <c r="I62" s="190">
        <v>10630.5</v>
      </c>
      <c r="J62" s="190">
        <v>3471.1</v>
      </c>
      <c r="K62" s="190">
        <v>4702.8</v>
      </c>
      <c r="L62" s="174"/>
      <c r="M62" s="7" t="s">
        <v>244</v>
      </c>
    </row>
    <row r="63" spans="1:12" s="100" customFormat="1" ht="78.75">
      <c r="A63" s="98">
        <v>31</v>
      </c>
      <c r="B63" s="168" t="s">
        <v>205</v>
      </c>
      <c r="C63" s="158" t="s">
        <v>48</v>
      </c>
      <c r="D63" s="160">
        <f>MIN(F63:K63)</f>
        <v>5.114008631399487</v>
      </c>
      <c r="E63" s="160">
        <f>MAX(F63:K63)</f>
        <v>37.78867494139714</v>
      </c>
      <c r="F63" s="160">
        <f aca="true" t="shared" si="11" ref="F63:K63">F64/(F81-F65)*100</f>
        <v>5.114008631399487</v>
      </c>
      <c r="G63" s="160">
        <f t="shared" si="11"/>
        <v>37.78867494139714</v>
      </c>
      <c r="H63" s="160">
        <f t="shared" si="11"/>
        <v>27.603075965077643</v>
      </c>
      <c r="I63" s="160">
        <f t="shared" si="11"/>
        <v>16.898600313053826</v>
      </c>
      <c r="J63" s="160">
        <f t="shared" si="11"/>
        <v>12.186830189214893</v>
      </c>
      <c r="K63" s="160">
        <f t="shared" si="11"/>
        <v>21.974422809325926</v>
      </c>
      <c r="L63" s="176"/>
    </row>
    <row r="64" spans="1:12" ht="46.5" customHeight="1">
      <c r="A64" s="1"/>
      <c r="B64" s="91" t="s">
        <v>152</v>
      </c>
      <c r="C64" s="92" t="s">
        <v>48</v>
      </c>
      <c r="D64" s="99"/>
      <c r="E64" s="99"/>
      <c r="F64" s="190">
        <v>6689.2</v>
      </c>
      <c r="G64" s="190">
        <v>54536.2</v>
      </c>
      <c r="H64" s="190">
        <v>6471.9</v>
      </c>
      <c r="I64" s="191">
        <v>10450.5</v>
      </c>
      <c r="J64" s="190">
        <v>3434.2</v>
      </c>
      <c r="K64" s="190">
        <v>4642.8</v>
      </c>
      <c r="L64" s="133"/>
    </row>
    <row r="65" spans="1:13" ht="49.5" customHeight="1">
      <c r="A65" s="1"/>
      <c r="B65" s="91" t="s">
        <v>154</v>
      </c>
      <c r="C65" s="92" t="s">
        <v>48</v>
      </c>
      <c r="D65" s="99"/>
      <c r="E65" s="99"/>
      <c r="F65" s="190">
        <v>0</v>
      </c>
      <c r="G65" s="190">
        <v>1835</v>
      </c>
      <c r="H65" s="190">
        <v>204</v>
      </c>
      <c r="I65" s="190">
        <v>882</v>
      </c>
      <c r="J65" s="190">
        <v>430</v>
      </c>
      <c r="K65" s="190">
        <v>188.1</v>
      </c>
      <c r="L65" s="174"/>
      <c r="M65" s="7" t="s">
        <v>245</v>
      </c>
    </row>
    <row r="66" spans="1:11" ht="30">
      <c r="A66" s="1">
        <v>32</v>
      </c>
      <c r="B66" s="162" t="s">
        <v>5</v>
      </c>
      <c r="C66" s="158" t="s">
        <v>49</v>
      </c>
      <c r="D66" s="159">
        <f>MIN(F66:K66)</f>
        <v>0</v>
      </c>
      <c r="E66" s="159">
        <f>MAX(F66:K66)</f>
        <v>0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</row>
    <row r="67" spans="1:12" ht="31.5">
      <c r="A67" s="1"/>
      <c r="B67" s="178" t="s">
        <v>17</v>
      </c>
      <c r="C67" s="158" t="s">
        <v>50</v>
      </c>
      <c r="D67" s="173">
        <f>MIN(F67:K67)</f>
        <v>0</v>
      </c>
      <c r="E67" s="173">
        <f>MAX(F67:K67)</f>
        <v>0</v>
      </c>
      <c r="F67" s="173">
        <f>(Данные!F69+Данные!F70)/(Данные!F68)</f>
        <v>0</v>
      </c>
      <c r="G67" s="173">
        <f>(Данные!G69+Данные!G70)/(Данные!G68)</f>
        <v>0</v>
      </c>
      <c r="H67" s="173">
        <f>(Данные!H69+Данные!H70)/(Данные!H68)</f>
        <v>0</v>
      </c>
      <c r="I67" s="173">
        <f>(Данные!I69+Данные!I70)/(Данные!I68)</f>
        <v>0</v>
      </c>
      <c r="J67" s="173">
        <f>(Данные!J69+Данные!J70)/(Данные!J68)</f>
        <v>0</v>
      </c>
      <c r="K67" s="173">
        <f>(Данные!K69+Данные!K70)/(Данные!K68)</f>
        <v>0</v>
      </c>
      <c r="L67" s="174"/>
    </row>
    <row r="68" spans="1:12" ht="25.5">
      <c r="A68" s="1">
        <v>33</v>
      </c>
      <c r="B68" s="179" t="s">
        <v>74</v>
      </c>
      <c r="C68" s="169" t="s">
        <v>50</v>
      </c>
      <c r="D68" s="159"/>
      <c r="E68" s="159"/>
      <c r="F68" s="166">
        <v>2</v>
      </c>
      <c r="G68" s="166">
        <v>3</v>
      </c>
      <c r="H68" s="166">
        <v>1</v>
      </c>
      <c r="I68" s="166">
        <v>3</v>
      </c>
      <c r="J68" s="166">
        <v>2</v>
      </c>
      <c r="K68" s="166">
        <v>2</v>
      </c>
      <c r="L68" s="174"/>
    </row>
    <row r="69" spans="1:12" ht="25.5">
      <c r="A69" s="1">
        <v>34</v>
      </c>
      <c r="B69" s="179" t="s">
        <v>75</v>
      </c>
      <c r="C69" s="169" t="s">
        <v>50</v>
      </c>
      <c r="D69" s="159"/>
      <c r="E69" s="159"/>
      <c r="F69" s="93"/>
      <c r="G69" s="93"/>
      <c r="H69" s="93"/>
      <c r="I69" s="93"/>
      <c r="J69" s="93"/>
      <c r="K69" s="153"/>
      <c r="L69" s="133"/>
    </row>
    <row r="70" spans="1:12" ht="25.5">
      <c r="A70" s="1">
        <v>35</v>
      </c>
      <c r="B70" s="179" t="s">
        <v>76</v>
      </c>
      <c r="C70" s="169" t="s">
        <v>50</v>
      </c>
      <c r="D70" s="159"/>
      <c r="E70" s="159"/>
      <c r="F70" s="93"/>
      <c r="G70" s="93"/>
      <c r="H70" s="93"/>
      <c r="I70" s="93"/>
      <c r="J70" s="93"/>
      <c r="K70" s="93"/>
      <c r="L70" s="133"/>
    </row>
    <row r="71" spans="1:11" ht="47.25">
      <c r="A71" s="1"/>
      <c r="B71" s="168" t="s">
        <v>206</v>
      </c>
      <c r="C71" s="169" t="s">
        <v>207</v>
      </c>
      <c r="D71" s="159"/>
      <c r="E71" s="159"/>
      <c r="F71" s="166">
        <v>1</v>
      </c>
      <c r="G71" s="166">
        <v>1</v>
      </c>
      <c r="H71" s="166">
        <v>1</v>
      </c>
      <c r="I71" s="167">
        <v>1</v>
      </c>
      <c r="J71" s="166">
        <v>0</v>
      </c>
      <c r="K71" s="166">
        <v>1</v>
      </c>
    </row>
    <row r="72" spans="1:11" ht="15.75">
      <c r="A72" s="1"/>
      <c r="B72" s="108" t="s">
        <v>173</v>
      </c>
      <c r="C72" s="113"/>
      <c r="D72" s="106"/>
      <c r="E72" s="106"/>
      <c r="F72" s="114"/>
      <c r="G72" s="114"/>
      <c r="H72" s="114"/>
      <c r="I72" s="114"/>
      <c r="J72" s="114"/>
      <c r="K72" s="114"/>
    </row>
    <row r="73" spans="1:11" ht="31.5">
      <c r="A73" s="117">
        <v>36</v>
      </c>
      <c r="B73" s="183" t="s">
        <v>208</v>
      </c>
      <c r="C73" s="171" t="s">
        <v>51</v>
      </c>
      <c r="D73" s="159">
        <f aca="true" t="shared" si="12" ref="D73:D87">MIN(F73:K73)</f>
        <v>0</v>
      </c>
      <c r="E73" s="159">
        <f aca="true" t="shared" si="13" ref="E73:E87">MAX(F73:K73)</f>
        <v>1</v>
      </c>
      <c r="F73" s="159">
        <v>1</v>
      </c>
      <c r="G73" s="159">
        <v>1</v>
      </c>
      <c r="H73" s="159">
        <v>1</v>
      </c>
      <c r="I73" s="159">
        <v>1</v>
      </c>
      <c r="J73" s="159">
        <v>1</v>
      </c>
      <c r="K73" s="159">
        <v>0</v>
      </c>
    </row>
    <row r="74" spans="1:12" ht="47.25">
      <c r="A74" s="117">
        <v>37</v>
      </c>
      <c r="B74" s="183" t="s">
        <v>209</v>
      </c>
      <c r="C74" s="171" t="s">
        <v>52</v>
      </c>
      <c r="D74" s="159">
        <f t="shared" si="12"/>
        <v>0</v>
      </c>
      <c r="E74" s="159">
        <f t="shared" si="13"/>
        <v>1</v>
      </c>
      <c r="F74" s="175">
        <v>1</v>
      </c>
      <c r="G74" s="175">
        <v>1</v>
      </c>
      <c r="H74" s="175">
        <v>0</v>
      </c>
      <c r="I74" s="175">
        <v>0</v>
      </c>
      <c r="J74" s="175">
        <v>1</v>
      </c>
      <c r="K74" s="159">
        <v>1</v>
      </c>
      <c r="L74" s="134"/>
    </row>
    <row r="75" spans="1:12" ht="77.25" customHeight="1">
      <c r="A75" s="117">
        <v>38</v>
      </c>
      <c r="B75" s="183" t="s">
        <v>210</v>
      </c>
      <c r="C75" s="171" t="s">
        <v>53</v>
      </c>
      <c r="D75" s="159">
        <f t="shared" si="12"/>
        <v>1</v>
      </c>
      <c r="E75" s="159">
        <f t="shared" si="13"/>
        <v>1</v>
      </c>
      <c r="F75" s="165">
        <v>1</v>
      </c>
      <c r="G75" s="159">
        <v>1</v>
      </c>
      <c r="H75" s="175">
        <v>1</v>
      </c>
      <c r="I75" s="159">
        <v>1</v>
      </c>
      <c r="J75" s="159">
        <v>1</v>
      </c>
      <c r="K75" s="159">
        <v>1</v>
      </c>
      <c r="L75" s="174"/>
    </row>
    <row r="76" spans="1:12" ht="57" customHeight="1">
      <c r="A76" s="117">
        <v>39</v>
      </c>
      <c r="B76" s="183" t="s">
        <v>211</v>
      </c>
      <c r="C76" s="171" t="s">
        <v>54</v>
      </c>
      <c r="D76" s="159">
        <f t="shared" si="12"/>
        <v>0</v>
      </c>
      <c r="E76" s="159">
        <f t="shared" si="13"/>
        <v>1</v>
      </c>
      <c r="F76" s="159">
        <v>1</v>
      </c>
      <c r="G76" s="159">
        <v>0</v>
      </c>
      <c r="H76" s="159">
        <v>1</v>
      </c>
      <c r="I76" s="159">
        <v>0</v>
      </c>
      <c r="J76" s="159">
        <v>1</v>
      </c>
      <c r="K76" s="159">
        <v>1</v>
      </c>
      <c r="L76" s="138"/>
    </row>
    <row r="77" spans="1:11" ht="47.25">
      <c r="A77" s="117">
        <v>40</v>
      </c>
      <c r="B77" s="183" t="s">
        <v>212</v>
      </c>
      <c r="C77" s="171" t="s">
        <v>55</v>
      </c>
      <c r="D77" s="159">
        <f t="shared" si="12"/>
        <v>1</v>
      </c>
      <c r="E77" s="159">
        <f t="shared" si="13"/>
        <v>1</v>
      </c>
      <c r="F77" s="159">
        <v>1</v>
      </c>
      <c r="G77" s="159">
        <v>1</v>
      </c>
      <c r="H77" s="159">
        <v>1</v>
      </c>
      <c r="I77" s="159">
        <v>1</v>
      </c>
      <c r="J77" s="159">
        <v>1</v>
      </c>
      <c r="K77" s="159">
        <v>1</v>
      </c>
    </row>
    <row r="78" spans="1:12" ht="94.5">
      <c r="A78" s="117">
        <v>41</v>
      </c>
      <c r="B78" s="170" t="s">
        <v>213</v>
      </c>
      <c r="C78" s="171" t="s">
        <v>69</v>
      </c>
      <c r="D78" s="159">
        <f t="shared" si="12"/>
        <v>0</v>
      </c>
      <c r="E78" s="159">
        <f t="shared" si="13"/>
        <v>0</v>
      </c>
      <c r="F78" s="159">
        <v>0</v>
      </c>
      <c r="G78" s="165">
        <v>0</v>
      </c>
      <c r="H78" s="159">
        <v>0</v>
      </c>
      <c r="I78" s="175">
        <v>0</v>
      </c>
      <c r="J78" s="159">
        <v>0</v>
      </c>
      <c r="K78" s="159">
        <v>0</v>
      </c>
      <c r="L78" s="139"/>
    </row>
    <row r="79" spans="1:12" ht="47.25" customHeight="1">
      <c r="A79" s="117">
        <v>42</v>
      </c>
      <c r="B79" s="170" t="s">
        <v>214</v>
      </c>
      <c r="C79" s="171" t="s">
        <v>70</v>
      </c>
      <c r="D79" s="159">
        <f t="shared" si="12"/>
        <v>1</v>
      </c>
      <c r="E79" s="159">
        <f t="shared" si="13"/>
        <v>1</v>
      </c>
      <c r="F79" s="159">
        <v>1</v>
      </c>
      <c r="G79" s="159">
        <v>1</v>
      </c>
      <c r="H79" s="159">
        <v>1</v>
      </c>
      <c r="I79" s="159">
        <v>1</v>
      </c>
      <c r="J79" s="159">
        <v>1</v>
      </c>
      <c r="K79" s="159">
        <v>1</v>
      </c>
      <c r="L79" s="174"/>
    </row>
    <row r="80" spans="1:13" ht="30">
      <c r="A80" s="1">
        <v>9</v>
      </c>
      <c r="B80" s="131" t="s">
        <v>72</v>
      </c>
      <c r="C80" s="132"/>
      <c r="D80" s="99">
        <f t="shared" si="12"/>
        <v>18375.3</v>
      </c>
      <c r="E80" s="99">
        <f t="shared" si="13"/>
        <v>102234.4</v>
      </c>
      <c r="F80" s="192">
        <v>90386.5</v>
      </c>
      <c r="G80" s="191">
        <v>102234.4</v>
      </c>
      <c r="H80" s="191">
        <v>21216.4</v>
      </c>
      <c r="I80" s="191">
        <v>46885.3</v>
      </c>
      <c r="J80" s="191">
        <v>25522.7</v>
      </c>
      <c r="K80" s="191">
        <v>18375.3</v>
      </c>
      <c r="L80" s="133"/>
      <c r="M80" s="133"/>
    </row>
    <row r="81" spans="1:13" ht="15.75">
      <c r="A81" s="1">
        <v>10</v>
      </c>
      <c r="B81" s="63" t="s">
        <v>73</v>
      </c>
      <c r="C81" s="92"/>
      <c r="D81" s="99">
        <f t="shared" si="12"/>
        <v>21316.3</v>
      </c>
      <c r="E81" s="99">
        <f t="shared" si="13"/>
        <v>146153.9</v>
      </c>
      <c r="F81" s="191">
        <v>130801.5</v>
      </c>
      <c r="G81" s="191">
        <v>146153.9</v>
      </c>
      <c r="H81" s="191">
        <v>23650.3</v>
      </c>
      <c r="I81" s="191">
        <v>62724.4</v>
      </c>
      <c r="J81" s="191">
        <v>28609.6</v>
      </c>
      <c r="K81" s="191">
        <v>21316.3</v>
      </c>
      <c r="L81" s="133"/>
      <c r="M81" s="133"/>
    </row>
    <row r="82" spans="1:20" s="97" customFormat="1" ht="15.75">
      <c r="A82" s="96"/>
      <c r="B82" s="63" t="s">
        <v>81</v>
      </c>
      <c r="C82" s="56"/>
      <c r="D82" s="62">
        <f t="shared" si="12"/>
        <v>0</v>
      </c>
      <c r="E82" s="62">
        <f t="shared" si="13"/>
        <v>0</v>
      </c>
      <c r="F82" s="4"/>
      <c r="G82" s="4"/>
      <c r="H82" s="4"/>
      <c r="I82" s="4"/>
      <c r="J82" s="4"/>
      <c r="K82" s="4"/>
      <c r="O82" s="149"/>
      <c r="P82" s="149"/>
      <c r="Q82" s="149"/>
      <c r="R82" s="149"/>
      <c r="S82" s="149"/>
      <c r="T82" s="149"/>
    </row>
    <row r="83" spans="1:12" ht="45" customHeight="1">
      <c r="A83" s="1">
        <v>43</v>
      </c>
      <c r="B83" s="120" t="s">
        <v>215</v>
      </c>
      <c r="C83" s="92" t="s">
        <v>61</v>
      </c>
      <c r="D83" s="99">
        <f t="shared" si="12"/>
        <v>1</v>
      </c>
      <c r="E83" s="99">
        <f t="shared" si="13"/>
        <v>1</v>
      </c>
      <c r="F83" s="95">
        <v>1</v>
      </c>
      <c r="G83" s="95">
        <v>1</v>
      </c>
      <c r="H83" s="95">
        <v>1</v>
      </c>
      <c r="I83" s="95">
        <v>1</v>
      </c>
      <c r="J83" s="95">
        <v>1</v>
      </c>
      <c r="K83" s="95">
        <v>1</v>
      </c>
      <c r="L83" s="133"/>
    </row>
    <row r="84" spans="1:12" ht="60">
      <c r="A84" s="1">
        <v>44</v>
      </c>
      <c r="B84" s="120" t="s">
        <v>216</v>
      </c>
      <c r="C84" s="92" t="s">
        <v>62</v>
      </c>
      <c r="D84" s="99">
        <f t="shared" si="12"/>
        <v>0</v>
      </c>
      <c r="E84" s="99">
        <f t="shared" si="13"/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33"/>
    </row>
    <row r="85" spans="1:12" ht="75">
      <c r="A85" s="1">
        <v>45</v>
      </c>
      <c r="B85" s="120" t="s">
        <v>217</v>
      </c>
      <c r="C85" s="92" t="s">
        <v>63</v>
      </c>
      <c r="D85" s="99">
        <f t="shared" si="12"/>
        <v>0</v>
      </c>
      <c r="E85" s="99">
        <f t="shared" si="13"/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33"/>
    </row>
    <row r="86" spans="1:12" ht="75">
      <c r="A86" s="1">
        <v>46</v>
      </c>
      <c r="B86" s="119" t="s">
        <v>218</v>
      </c>
      <c r="C86" s="92" t="s">
        <v>64</v>
      </c>
      <c r="D86" s="99">
        <f t="shared" si="12"/>
        <v>0</v>
      </c>
      <c r="E86" s="99">
        <f t="shared" si="13"/>
        <v>0.2368</v>
      </c>
      <c r="F86" s="152">
        <v>0.0765</v>
      </c>
      <c r="G86" s="187">
        <v>0.0644</v>
      </c>
      <c r="H86" s="187">
        <v>0.1996</v>
      </c>
      <c r="I86" s="187">
        <v>0.1229</v>
      </c>
      <c r="J86" s="152">
        <v>0</v>
      </c>
      <c r="K86" s="152">
        <v>0.2368</v>
      </c>
      <c r="L86" s="133"/>
    </row>
    <row r="87" spans="1:12" ht="66.75" customHeight="1">
      <c r="A87" s="1">
        <v>47</v>
      </c>
      <c r="B87" s="119" t="s">
        <v>219</v>
      </c>
      <c r="C87" s="92" t="s">
        <v>113</v>
      </c>
      <c r="D87" s="99">
        <f t="shared" si="12"/>
        <v>0.24</v>
      </c>
      <c r="E87" s="99">
        <f t="shared" si="13"/>
        <v>0.24</v>
      </c>
      <c r="F87" s="152"/>
      <c r="G87" s="152">
        <v>0.24</v>
      </c>
      <c r="H87" s="152"/>
      <c r="I87" s="152"/>
      <c r="J87" s="152"/>
      <c r="K87" s="152"/>
      <c r="L87" s="133"/>
    </row>
    <row r="88" ht="15">
      <c r="B88"/>
    </row>
    <row r="89" ht="15">
      <c r="B89"/>
    </row>
    <row r="90" ht="15">
      <c r="B90" s="118"/>
    </row>
  </sheetData>
  <sheetProtection/>
  <mergeCells count="8">
    <mergeCell ref="M39:R39"/>
    <mergeCell ref="M38:R38"/>
    <mergeCell ref="F2:K2"/>
    <mergeCell ref="M16:S16"/>
    <mergeCell ref="M15:S15"/>
    <mergeCell ref="M29:R29"/>
    <mergeCell ref="M32:R32"/>
    <mergeCell ref="M35:R35"/>
  </mergeCells>
  <hyperlinks>
    <hyperlink ref="B86" location="_ftn1" display="_ftn1"/>
    <hyperlink ref="B87" location="_ftn1" display="_ftn1"/>
    <hyperlink ref="B90" location="_ftnref1" display="_ftnref1"/>
  </hyperlinks>
  <printOptions/>
  <pageMargins left="0" right="0" top="0.1968503937007874" bottom="0.1968503937007874" header="0" footer="0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1</cp:lastModifiedBy>
  <cp:lastPrinted>2015-03-26T10:29:01Z</cp:lastPrinted>
  <dcterms:created xsi:type="dcterms:W3CDTF">2010-12-18T23:19:43Z</dcterms:created>
  <dcterms:modified xsi:type="dcterms:W3CDTF">2015-03-26T11:37:12Z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